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15" yWindow="-15" windowWidth="25260" windowHeight="125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Feuil1!$A$1:$Q$36</definedName>
    <definedName name="_xlnm.Print_Area" localSheetId="1">Feuil2!$A$1:$Q$36</definedName>
    <definedName name="_xlnm.Print_Area" localSheetId="2">Feuil3!$B$1:$N$36</definedName>
  </definedNames>
  <calcPr calcId="125725" iterate="1" iterateCount="50"/>
</workbook>
</file>

<file path=xl/calcChain.xml><?xml version="1.0" encoding="utf-8"?>
<calcChain xmlns="http://schemas.openxmlformats.org/spreadsheetml/2006/main">
  <c r="AB26" i="1"/>
  <c r="F32" i="2"/>
  <c r="F33"/>
  <c r="F34"/>
  <c r="F35"/>
  <c r="F36"/>
  <c r="V7" i="1"/>
  <c r="V8"/>
  <c r="V9"/>
  <c r="V10"/>
  <c r="V11"/>
  <c r="V12"/>
  <c r="V13"/>
  <c r="V14"/>
  <c r="V15"/>
  <c r="V16"/>
  <c r="V17"/>
  <c r="V18"/>
  <c r="V19"/>
  <c r="V20"/>
  <c r="V6"/>
  <c r="V21"/>
  <c r="E22" l="1"/>
  <c r="V36"/>
  <c r="G33" s="1"/>
  <c r="U47"/>
  <c r="B30" s="1"/>
  <c r="AX33"/>
  <c r="AC29"/>
  <c r="AO53"/>
  <c r="F20" s="1"/>
  <c r="Z41"/>
  <c r="Y50"/>
  <c r="AL26"/>
  <c r="AL27" s="1"/>
  <c r="AL28" s="1"/>
  <c r="AL29" s="1"/>
  <c r="AL30" s="1"/>
  <c r="AL31" s="1"/>
  <c r="AL32" s="1"/>
  <c r="AL33" s="1"/>
  <c r="AL34" s="1"/>
  <c r="AL35" s="1"/>
  <c r="AL36" s="1"/>
  <c r="AL37" s="1"/>
  <c r="AL38" s="1"/>
  <c r="AL39" s="1"/>
  <c r="AL40" s="1"/>
  <c r="AL41" s="1"/>
  <c r="AL42" s="1"/>
  <c r="AL43" s="1"/>
  <c r="AL44" s="1"/>
  <c r="AL45" s="1"/>
  <c r="AL46" s="1"/>
  <c r="AL47" s="1"/>
  <c r="AL48" s="1"/>
  <c r="AL49" s="1"/>
  <c r="AL50" s="1"/>
  <c r="AL51" s="1"/>
  <c r="AL52" s="1"/>
  <c r="AL53" s="1"/>
  <c r="AL54" s="1"/>
  <c r="AL55" s="1"/>
  <c r="AL56" s="1"/>
  <c r="B7" i="3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7" i="2"/>
  <c r="M7" s="1"/>
  <c r="Z29" i="1"/>
  <c r="AB28"/>
  <c r="AB27"/>
  <c r="AB29"/>
  <c r="AH21" l="1"/>
  <c r="AO54"/>
  <c r="E20" s="1"/>
  <c r="E33" s="1"/>
  <c r="B27"/>
  <c r="B8" i="2"/>
  <c r="F32" i="3"/>
  <c r="F33"/>
  <c r="F34"/>
  <c r="F35"/>
  <c r="F36"/>
  <c r="D33" i="1" l="1"/>
  <c r="E21"/>
  <c r="AR74" s="1"/>
  <c r="M8" i="2"/>
  <c r="B9"/>
  <c r="AR89" i="1" l="1"/>
  <c r="AR151"/>
  <c r="AR196"/>
  <c r="AR170"/>
  <c r="AR183"/>
  <c r="AR293"/>
  <c r="AR53"/>
  <c r="AR187"/>
  <c r="AR84"/>
  <c r="AR47"/>
  <c r="AR281"/>
  <c r="AR64"/>
  <c r="AR121"/>
  <c r="AR322"/>
  <c r="AR216"/>
  <c r="AR173"/>
  <c r="AR88"/>
  <c r="AR174"/>
  <c r="AR111"/>
  <c r="AR148"/>
  <c r="AR179"/>
  <c r="AR311"/>
  <c r="AR246"/>
  <c r="AR275"/>
  <c r="AR302"/>
  <c r="AR318"/>
  <c r="AR208"/>
  <c r="AR82"/>
  <c r="AR199"/>
  <c r="AR242"/>
  <c r="AR80"/>
  <c r="AR117"/>
  <c r="AR130"/>
  <c r="AR75"/>
  <c r="AR63"/>
  <c r="AR71"/>
  <c r="AR292"/>
  <c r="AR317"/>
  <c r="AR304"/>
  <c r="AR160"/>
  <c r="AR184"/>
  <c r="AR147"/>
  <c r="AR181"/>
  <c r="AR96"/>
  <c r="AR163"/>
  <c r="E23"/>
  <c r="AR68"/>
  <c r="AR92"/>
  <c r="AR54"/>
  <c r="AR154"/>
  <c r="AR140"/>
  <c r="AR79"/>
  <c r="AR194"/>
  <c r="AR287"/>
  <c r="AR314"/>
  <c r="AR328"/>
  <c r="AR294"/>
  <c r="AR175"/>
  <c r="AR78"/>
  <c r="AR259"/>
  <c r="AR214"/>
  <c r="AR305"/>
  <c r="AR310"/>
  <c r="AR221"/>
  <c r="AR263"/>
  <c r="AR180"/>
  <c r="AR252"/>
  <c r="AR195"/>
  <c r="AR257"/>
  <c r="AR70"/>
  <c r="AR219"/>
  <c r="AR116"/>
  <c r="W41"/>
  <c r="E24" s="1"/>
  <c r="AS275" s="1"/>
  <c r="AR100"/>
  <c r="AR159"/>
  <c r="AR108"/>
  <c r="AR42"/>
  <c r="AR104"/>
  <c r="AR212"/>
  <c r="AR69"/>
  <c r="AR135"/>
  <c r="AR65"/>
  <c r="AR43"/>
  <c r="AR158"/>
  <c r="AR59"/>
  <c r="AR197"/>
  <c r="AR185"/>
  <c r="AR205"/>
  <c r="AR91"/>
  <c r="AR190"/>
  <c r="AR238"/>
  <c r="AR99"/>
  <c r="AR87"/>
  <c r="AR218"/>
  <c r="AR41"/>
  <c r="AR253"/>
  <c r="AR132"/>
  <c r="AR297"/>
  <c r="AR291"/>
  <c r="AR303"/>
  <c r="AR308"/>
  <c r="AR327"/>
  <c r="AR325"/>
  <c r="AR269"/>
  <c r="AR274"/>
  <c r="AR323"/>
  <c r="AR280"/>
  <c r="AR283"/>
  <c r="AR320"/>
  <c r="AR309"/>
  <c r="AR299"/>
  <c r="AR152"/>
  <c r="AR324"/>
  <c r="AR278"/>
  <c r="AR177"/>
  <c r="AR168"/>
  <c r="AR98"/>
  <c r="AR200"/>
  <c r="AR244"/>
  <c r="AR204"/>
  <c r="AR262"/>
  <c r="AR215"/>
  <c r="AR229"/>
  <c r="AR94"/>
  <c r="AR192"/>
  <c r="AR237"/>
  <c r="AR198"/>
  <c r="AR258"/>
  <c r="AR211"/>
  <c r="AR33"/>
  <c r="AR86"/>
  <c r="AR206"/>
  <c r="AR172"/>
  <c r="AR250"/>
  <c r="AR157"/>
  <c r="AR207"/>
  <c r="AR128"/>
  <c r="AR171"/>
  <c r="AR155"/>
  <c r="AR76"/>
  <c r="AR189"/>
  <c r="AR72"/>
  <c r="AR139"/>
  <c r="AR39"/>
  <c r="AR101"/>
  <c r="AR150"/>
  <c r="AR97"/>
  <c r="AR105"/>
  <c r="AR109"/>
  <c r="AR125"/>
  <c r="AR113"/>
  <c r="AR156"/>
  <c r="AR57"/>
  <c r="AR123"/>
  <c r="AR77"/>
  <c r="AR45"/>
  <c r="AR146"/>
  <c r="AR143"/>
  <c r="AR83"/>
  <c r="AR138"/>
  <c r="AR153"/>
  <c r="AR67"/>
  <c r="AR268"/>
  <c r="AR271"/>
  <c r="AR276"/>
  <c r="AR295"/>
  <c r="AR286"/>
  <c r="AR298"/>
  <c r="AR301"/>
  <c r="AR306"/>
  <c r="AR300"/>
  <c r="AR312"/>
  <c r="AR288"/>
  <c r="AR277"/>
  <c r="AR289"/>
  <c r="AR127"/>
  <c r="AR46"/>
  <c r="AR201"/>
  <c r="AR321"/>
  <c r="AR48"/>
  <c r="AR66"/>
  <c r="AR131"/>
  <c r="AR256"/>
  <c r="AR145"/>
  <c r="AR249"/>
  <c r="AR34"/>
  <c r="AR247"/>
  <c r="AR62"/>
  <c r="AR126"/>
  <c r="AR248"/>
  <c r="AR141"/>
  <c r="AR241"/>
  <c r="AR30"/>
  <c r="AR243"/>
  <c r="AR55"/>
  <c r="AR136"/>
  <c r="AR226"/>
  <c r="AR209"/>
  <c r="AR203"/>
  <c r="AR260"/>
  <c r="AR56"/>
  <c r="AR202"/>
  <c r="AR167"/>
  <c r="AR222"/>
  <c r="AR134"/>
  <c r="AR112"/>
  <c r="AR233"/>
  <c r="AR261"/>
  <c r="AR124"/>
  <c r="AR178"/>
  <c r="AR50"/>
  <c r="AR144"/>
  <c r="AR58"/>
  <c r="AR120"/>
  <c r="AR37"/>
  <c r="AR85"/>
  <c r="AR166"/>
  <c r="AR81"/>
  <c r="AR73"/>
  <c r="AR61"/>
  <c r="AR93"/>
  <c r="AR49"/>
  <c r="AR224"/>
  <c r="AR164"/>
  <c r="AR107"/>
  <c r="AR35"/>
  <c r="AR213"/>
  <c r="AR119"/>
  <c r="AR115"/>
  <c r="AR51"/>
  <c r="AR95"/>
  <c r="AR169"/>
  <c r="AR182"/>
  <c r="AR313"/>
  <c r="AR307"/>
  <c r="AR319"/>
  <c r="AR279"/>
  <c r="AR270"/>
  <c r="AR282"/>
  <c r="AR285"/>
  <c r="AR290"/>
  <c r="AR284"/>
  <c r="AR296"/>
  <c r="AR272"/>
  <c r="AR316"/>
  <c r="AR273"/>
  <c r="AR326"/>
  <c r="AR149"/>
  <c r="AR103"/>
  <c r="AR315"/>
  <c r="AR161"/>
  <c r="AR52"/>
  <c r="AR114"/>
  <c r="AR245"/>
  <c r="AR129"/>
  <c r="AR225"/>
  <c r="AR36"/>
  <c r="AR231"/>
  <c r="AR40"/>
  <c r="AR110"/>
  <c r="AR228"/>
  <c r="AR31"/>
  <c r="AR220"/>
  <c r="AR32"/>
  <c r="AR227"/>
  <c r="AR165"/>
  <c r="AR102"/>
  <c r="AR265"/>
  <c r="AR188"/>
  <c r="AR266"/>
  <c r="AR217"/>
  <c r="AR162"/>
  <c r="AR186"/>
  <c r="AR193"/>
  <c r="AR191"/>
  <c r="AR29"/>
  <c r="AR255"/>
  <c r="AR232"/>
  <c r="AR239"/>
  <c r="AR122"/>
  <c r="AR137"/>
  <c r="AR90"/>
  <c r="AR254"/>
  <c r="AR60"/>
  <c r="AR240"/>
  <c r="AR236"/>
  <c r="AR223"/>
  <c r="AR251"/>
  <c r="AR176"/>
  <c r="AR267"/>
  <c r="AR210"/>
  <c r="AR235"/>
  <c r="AR118"/>
  <c r="AR234"/>
  <c r="AR133"/>
  <c r="AR230"/>
  <c r="AR38"/>
  <c r="AR106"/>
  <c r="AR44"/>
  <c r="AR142"/>
  <c r="AR264"/>
  <c r="AS283"/>
  <c r="AS299"/>
  <c r="AS315"/>
  <c r="AS276"/>
  <c r="AS312"/>
  <c r="AS274"/>
  <c r="AS290"/>
  <c r="AS306"/>
  <c r="AS322"/>
  <c r="AS277"/>
  <c r="AS293"/>
  <c r="AS309"/>
  <c r="AS325"/>
  <c r="AS288"/>
  <c r="AS316"/>
  <c r="AS216"/>
  <c r="AS51"/>
  <c r="AS97"/>
  <c r="AS111"/>
  <c r="AS189"/>
  <c r="AS193"/>
  <c r="AS34"/>
  <c r="AS115"/>
  <c r="AS261"/>
  <c r="AS46"/>
  <c r="AS130"/>
  <c r="AS238"/>
  <c r="AS100"/>
  <c r="AS187"/>
  <c r="AS251"/>
  <c r="AS184"/>
  <c r="AS30"/>
  <c r="AS42"/>
  <c r="AS89"/>
  <c r="AS83"/>
  <c r="AS138"/>
  <c r="AS162"/>
  <c r="AS208"/>
  <c r="AS181"/>
  <c r="AS61"/>
  <c r="AS146"/>
  <c r="AS254"/>
  <c r="AS112"/>
  <c r="AS199"/>
  <c r="AS263"/>
  <c r="AS129"/>
  <c r="AS161"/>
  <c r="AS241"/>
  <c r="AS67"/>
  <c r="AS32"/>
  <c r="AS106"/>
  <c r="AS221"/>
  <c r="AS202"/>
  <c r="AS110"/>
  <c r="AS33"/>
  <c r="AS119"/>
  <c r="AS228"/>
  <c r="AS76"/>
  <c r="AS140"/>
  <c r="AS227"/>
  <c r="AS223"/>
  <c r="AS139"/>
  <c r="AS156"/>
  <c r="AS252"/>
  <c r="AS74"/>
  <c r="AS48"/>
  <c r="AS85"/>
  <c r="AS113"/>
  <c r="AS218"/>
  <c r="AS234"/>
  <c r="AS71"/>
  <c r="AS180"/>
  <c r="AS265"/>
  <c r="AS104"/>
  <c r="AS207"/>
  <c r="B10" i="2"/>
  <c r="M9"/>
  <c r="AS175" i="1" l="1"/>
  <c r="AS88"/>
  <c r="AS244"/>
  <c r="AS135"/>
  <c r="AS50"/>
  <c r="AS137"/>
  <c r="AS197"/>
  <c r="AS242"/>
  <c r="AS117"/>
  <c r="AS134"/>
  <c r="AS102"/>
  <c r="AS75"/>
  <c r="AS45"/>
  <c r="AS205"/>
  <c r="AS191"/>
  <c r="AS211"/>
  <c r="AS124"/>
  <c r="AS60"/>
  <c r="AS206"/>
  <c r="AS98"/>
  <c r="AS155"/>
  <c r="AS41"/>
  <c r="AS142"/>
  <c r="AS157"/>
  <c r="AS172"/>
  <c r="AS105"/>
  <c r="AS95"/>
  <c r="AS53"/>
  <c r="AT53" s="1"/>
  <c r="AS35"/>
  <c r="AS194"/>
  <c r="AS247"/>
  <c r="AS183"/>
  <c r="AS96"/>
  <c r="AS233"/>
  <c r="AS125"/>
  <c r="AS37"/>
  <c r="AS121"/>
  <c r="AS176"/>
  <c r="AS44"/>
  <c r="AS204"/>
  <c r="AS170"/>
  <c r="AS122"/>
  <c r="AS123"/>
  <c r="AS58"/>
  <c r="AS226"/>
  <c r="AS235"/>
  <c r="AS148"/>
  <c r="AS84"/>
  <c r="AS217"/>
  <c r="AS109"/>
  <c r="AS163"/>
  <c r="AS240"/>
  <c r="AS38"/>
  <c r="AS63"/>
  <c r="AS236"/>
  <c r="AS149"/>
  <c r="AS177"/>
  <c r="AS232"/>
  <c r="AS79"/>
  <c r="AS258"/>
  <c r="AS308"/>
  <c r="AS280"/>
  <c r="AS321"/>
  <c r="AS305"/>
  <c r="AS289"/>
  <c r="AS273"/>
  <c r="AS318"/>
  <c r="AS302"/>
  <c r="AS286"/>
  <c r="AS270"/>
  <c r="AS304"/>
  <c r="AS327"/>
  <c r="AS311"/>
  <c r="AS295"/>
  <c r="AS279"/>
  <c r="AS239"/>
  <c r="AS120"/>
  <c r="AS55"/>
  <c r="AS201"/>
  <c r="AS93"/>
  <c r="AS159"/>
  <c r="AS245"/>
  <c r="AS153"/>
  <c r="AS57"/>
  <c r="AS225"/>
  <c r="AS47"/>
  <c r="AS209"/>
  <c r="AS43"/>
  <c r="AS101"/>
  <c r="AS255"/>
  <c r="AS243"/>
  <c r="AS179"/>
  <c r="AS92"/>
  <c r="AS249"/>
  <c r="AS141"/>
  <c r="AS54"/>
  <c r="AS147"/>
  <c r="AS224"/>
  <c r="AS90"/>
  <c r="AS78"/>
  <c r="AS257"/>
  <c r="AT257" s="1"/>
  <c r="AS36"/>
  <c r="AS198"/>
  <c r="AS264"/>
  <c r="AS94"/>
  <c r="AS56"/>
  <c r="AS215"/>
  <c r="AS128"/>
  <c r="AS64"/>
  <c r="AS190"/>
  <c r="AS82"/>
  <c r="AS167"/>
  <c r="AS229"/>
  <c r="AS200"/>
  <c r="AT201" s="1"/>
  <c r="AS99"/>
  <c r="AS158"/>
  <c r="AS59"/>
  <c r="AS230"/>
  <c r="AS166"/>
  <c r="AS118"/>
  <c r="AS267"/>
  <c r="AS203"/>
  <c r="AS116"/>
  <c r="AS260"/>
  <c r="AS174"/>
  <c r="AT178" s="1"/>
  <c r="AS66"/>
  <c r="AS131"/>
  <c r="AS186"/>
  <c r="AS168"/>
  <c r="AS127"/>
  <c r="AS62"/>
  <c r="AS81"/>
  <c r="AS262"/>
  <c r="AS150"/>
  <c r="AS173"/>
  <c r="AS324"/>
  <c r="AS292"/>
  <c r="AS268"/>
  <c r="AS313"/>
  <c r="AS297"/>
  <c r="AS281"/>
  <c r="AS326"/>
  <c r="AS310"/>
  <c r="AS294"/>
  <c r="AS278"/>
  <c r="AS320"/>
  <c r="AS284"/>
  <c r="AS319"/>
  <c r="AS303"/>
  <c r="AS287"/>
  <c r="AS271"/>
  <c r="AS136"/>
  <c r="AS72"/>
  <c r="AS222"/>
  <c r="AT223" s="1"/>
  <c r="AS114"/>
  <c r="AS29"/>
  <c r="AS266"/>
  <c r="AS126"/>
  <c r="AT128" s="1"/>
  <c r="AS152"/>
  <c r="AS182"/>
  <c r="AS154"/>
  <c r="AS143"/>
  <c r="AS210"/>
  <c r="AS73"/>
  <c r="AS248"/>
  <c r="AS259"/>
  <c r="AS195"/>
  <c r="AS108"/>
  <c r="AS40"/>
  <c r="AS185"/>
  <c r="AT185" s="1"/>
  <c r="AS77"/>
  <c r="AS171"/>
  <c r="AS250"/>
  <c r="AS169"/>
  <c r="AS49"/>
  <c r="AS214"/>
  <c r="AS160"/>
  <c r="AS133"/>
  <c r="AS178"/>
  <c r="AS65"/>
  <c r="AS237"/>
  <c r="AS231"/>
  <c r="AS144"/>
  <c r="AS80"/>
  <c r="AS212"/>
  <c r="AT212" s="1"/>
  <c r="AS103"/>
  <c r="AS151"/>
  <c r="AS256"/>
  <c r="AS69"/>
  <c r="AS70"/>
  <c r="AS246"/>
  <c r="AS31"/>
  <c r="AT34" s="1"/>
  <c r="AS188"/>
  <c r="AS253"/>
  <c r="AS86"/>
  <c r="AS39"/>
  <c r="AS219"/>
  <c r="AS132"/>
  <c r="AS68"/>
  <c r="AS196"/>
  <c r="AS87"/>
  <c r="AS192"/>
  <c r="AS213"/>
  <c r="AS145"/>
  <c r="AS91"/>
  <c r="AT92" s="1"/>
  <c r="AS164"/>
  <c r="AT164" s="1"/>
  <c r="AS52"/>
  <c r="AS220"/>
  <c r="AS165"/>
  <c r="AS107"/>
  <c r="E25"/>
  <c r="F16" i="3" s="1"/>
  <c r="AS300" i="1"/>
  <c r="AS272"/>
  <c r="AS317"/>
  <c r="AS301"/>
  <c r="AS285"/>
  <c r="AS269"/>
  <c r="AS314"/>
  <c r="AS298"/>
  <c r="AS282"/>
  <c r="AS328"/>
  <c r="AS296"/>
  <c r="AS323"/>
  <c r="AS307"/>
  <c r="AS291"/>
  <c r="F8" i="3"/>
  <c r="F29"/>
  <c r="F27"/>
  <c r="F31"/>
  <c r="F28"/>
  <c r="F30"/>
  <c r="F9"/>
  <c r="F11"/>
  <c r="F14"/>
  <c r="F15"/>
  <c r="F22"/>
  <c r="F23"/>
  <c r="F20"/>
  <c r="F7"/>
  <c r="F10"/>
  <c r="F13"/>
  <c r="F24"/>
  <c r="AT32" i="1"/>
  <c r="AT30"/>
  <c r="AT31"/>
  <c r="AT33"/>
  <c r="AT29"/>
  <c r="AM6" s="1"/>
  <c r="AT43"/>
  <c r="AT136"/>
  <c r="F15" i="2" s="1"/>
  <c r="AT125" i="1"/>
  <c r="AT150"/>
  <c r="AT149"/>
  <c r="AT147"/>
  <c r="AT199"/>
  <c r="AT197"/>
  <c r="AT208"/>
  <c r="F21" i="2" s="1"/>
  <c r="AT198" i="1"/>
  <c r="AT221"/>
  <c r="AT162"/>
  <c r="AT163"/>
  <c r="AT161"/>
  <c r="AT90"/>
  <c r="AT89"/>
  <c r="AT114"/>
  <c r="AT113"/>
  <c r="AT115"/>
  <c r="AT116"/>
  <c r="AT211"/>
  <c r="AT210"/>
  <c r="AT209"/>
  <c r="AT258"/>
  <c r="AT173"/>
  <c r="AT54"/>
  <c r="AT245"/>
  <c r="AT246"/>
  <c r="AT79"/>
  <c r="AT86"/>
  <c r="AT84"/>
  <c r="AT78"/>
  <c r="AT83"/>
  <c r="AT80"/>
  <c r="AT81"/>
  <c r="AT85"/>
  <c r="AT77"/>
  <c r="AT67"/>
  <c r="AT65"/>
  <c r="AT82"/>
  <c r="M10" i="2"/>
  <c r="B11"/>
  <c r="F12" i="3" l="1"/>
  <c r="F17"/>
  <c r="F26"/>
  <c r="F25"/>
  <c r="AT151" i="1"/>
  <c r="AT66"/>
  <c r="AT117"/>
  <c r="AT247"/>
  <c r="AT56"/>
  <c r="AT44"/>
  <c r="AT107"/>
  <c r="AT132"/>
  <c r="AT235"/>
  <c r="AT144"/>
  <c r="AT186"/>
  <c r="AT206"/>
  <c r="AT205"/>
  <c r="AT137"/>
  <c r="AT39"/>
  <c r="AT57"/>
  <c r="AT179"/>
  <c r="AT152"/>
  <c r="AT227"/>
  <c r="AT143"/>
  <c r="AT133"/>
  <c r="AT234"/>
  <c r="AT187"/>
  <c r="AT222"/>
  <c r="AT207"/>
  <c r="AT203"/>
  <c r="AT145"/>
  <c r="AT141"/>
  <c r="AT142"/>
  <c r="AT153"/>
  <c r="AT126"/>
  <c r="AT129"/>
  <c r="AT127"/>
  <c r="AT233"/>
  <c r="AT58"/>
  <c r="AT52"/>
  <c r="F8" i="2" s="1"/>
  <c r="AT280" i="1"/>
  <c r="F27" i="2" s="1"/>
  <c r="AT165" i="1"/>
  <c r="AT88"/>
  <c r="F11" i="2" s="1"/>
  <c r="AT193" i="1"/>
  <c r="AT73"/>
  <c r="AT240"/>
  <c r="AT251"/>
  <c r="AT248"/>
  <c r="AT155"/>
  <c r="AT264"/>
  <c r="AT181"/>
  <c r="AT64"/>
  <c r="F9" i="2" s="1"/>
  <c r="AT188" i="1"/>
  <c r="AT131"/>
  <c r="AT112"/>
  <c r="F13" i="2" s="1"/>
  <c r="AT230" i="1"/>
  <c r="AT202"/>
  <c r="AT200"/>
  <c r="AT204"/>
  <c r="AT140"/>
  <c r="AT146"/>
  <c r="AT130"/>
  <c r="AT134"/>
  <c r="AT236"/>
  <c r="AT55"/>
  <c r="AT46"/>
  <c r="AT41"/>
  <c r="AT71"/>
  <c r="AT68"/>
  <c r="AT224"/>
  <c r="AT138"/>
  <c r="AT139"/>
  <c r="AT135"/>
  <c r="AT42"/>
  <c r="AT93"/>
  <c r="AT300"/>
  <c r="AT148"/>
  <c r="F16" i="2" s="1"/>
  <c r="AT167" i="1"/>
  <c r="AT318"/>
  <c r="AT104"/>
  <c r="AT228"/>
  <c r="AT191"/>
  <c r="AT168"/>
  <c r="AT282"/>
  <c r="AT75"/>
  <c r="AT189"/>
  <c r="AT219"/>
  <c r="AT218"/>
  <c r="AT239"/>
  <c r="AT310"/>
  <c r="AT99"/>
  <c r="AT243"/>
  <c r="AT63"/>
  <c r="AT255"/>
  <c r="AT292"/>
  <c r="F28" i="2" s="1"/>
  <c r="AT273" i="1"/>
  <c r="AT316"/>
  <c r="F30" i="2" s="1"/>
  <c r="AT38" i="1"/>
  <c r="AT48"/>
  <c r="AT121"/>
  <c r="AT252"/>
  <c r="AT213"/>
  <c r="AT94"/>
  <c r="AT60"/>
  <c r="AT322"/>
  <c r="AT271"/>
  <c r="AT325"/>
  <c r="AT304"/>
  <c r="F29" i="2" s="1"/>
  <c r="AT328" i="1"/>
  <c r="F31" i="2" s="1"/>
  <c r="AT158" i="1"/>
  <c r="AT237"/>
  <c r="AT307"/>
  <c r="AT274"/>
  <c r="AT277"/>
  <c r="AT174"/>
  <c r="AT59"/>
  <c r="AT306"/>
  <c r="AT319"/>
  <c r="AT269"/>
  <c r="AT305"/>
  <c r="AT103"/>
  <c r="AT70"/>
  <c r="AT192"/>
  <c r="AT194"/>
  <c r="AT190"/>
  <c r="AT254"/>
  <c r="AT256"/>
  <c r="F25" i="2" s="1"/>
  <c r="AT249" i="1"/>
  <c r="AT180"/>
  <c r="AT177"/>
  <c r="AT182"/>
  <c r="AT268"/>
  <c r="F26" i="2" s="1"/>
  <c r="AT261" i="1"/>
  <c r="AT260"/>
  <c r="AT105"/>
  <c r="AT110"/>
  <c r="AT101"/>
  <c r="AT215"/>
  <c r="AT220"/>
  <c r="F22" i="2" s="1"/>
  <c r="AT122" i="1"/>
  <c r="AT96"/>
  <c r="AT91"/>
  <c r="AT172"/>
  <c r="F18" i="2" s="1"/>
  <c r="AT171" i="1"/>
  <c r="AT232"/>
  <c r="F23" i="2" s="1"/>
  <c r="AT159" i="1"/>
  <c r="AT244"/>
  <c r="F24" i="2" s="1"/>
  <c r="AT242" i="1"/>
  <c r="AT62"/>
  <c r="AT50"/>
  <c r="AT45"/>
  <c r="AT36"/>
  <c r="AT37"/>
  <c r="AT35"/>
  <c r="AT156"/>
  <c r="AT303"/>
  <c r="AT313"/>
  <c r="AT285"/>
  <c r="AT293"/>
  <c r="AT311"/>
  <c r="AT297"/>
  <c r="AT296"/>
  <c r="AT301"/>
  <c r="AT283"/>
  <c r="AT302"/>
  <c r="AT308"/>
  <c r="AT294"/>
  <c r="AT312"/>
  <c r="AT298"/>
  <c r="AT321"/>
  <c r="F18" i="3"/>
  <c r="F19"/>
  <c r="AT69" i="1"/>
  <c r="AT72"/>
  <c r="AT196"/>
  <c r="F20" i="2" s="1"/>
  <c r="AT195" i="1"/>
  <c r="AT250"/>
  <c r="AT253"/>
  <c r="AT184"/>
  <c r="F19" i="2" s="1"/>
  <c r="AT183" i="1"/>
  <c r="AT175"/>
  <c r="AT262"/>
  <c r="AT267"/>
  <c r="AT266"/>
  <c r="AT109"/>
  <c r="AT108"/>
  <c r="AT106"/>
  <c r="AT214"/>
  <c r="AT118"/>
  <c r="AT123"/>
  <c r="AT119"/>
  <c r="AT98"/>
  <c r="AT97"/>
  <c r="AT169"/>
  <c r="AT166"/>
  <c r="AT229"/>
  <c r="AT226"/>
  <c r="AT154"/>
  <c r="AT160"/>
  <c r="F17" i="2" s="1"/>
  <c r="AT238" i="1"/>
  <c r="AT61"/>
  <c r="AT49"/>
  <c r="AT47"/>
  <c r="AT40"/>
  <c r="F7" i="2" s="1"/>
  <c r="AT157" i="1"/>
  <c r="AT281"/>
  <c r="AT289"/>
  <c r="AT272"/>
  <c r="AT284"/>
  <c r="AT278"/>
  <c r="AT288"/>
  <c r="AT279"/>
  <c r="AT290"/>
  <c r="AT287"/>
  <c r="AT326"/>
  <c r="AT286"/>
  <c r="AT323"/>
  <c r="AT295"/>
  <c r="AT74"/>
  <c r="AT76"/>
  <c r="F10" i="2" s="1"/>
  <c r="AT87" i="1"/>
  <c r="AT176"/>
  <c r="AT259"/>
  <c r="AT265"/>
  <c r="AT263"/>
  <c r="AT111"/>
  <c r="AT102"/>
  <c r="AT217"/>
  <c r="AT216"/>
  <c r="AT120"/>
  <c r="AT124"/>
  <c r="F14" i="2" s="1"/>
  <c r="AT95" i="1"/>
  <c r="AT100"/>
  <c r="F12" i="2" s="1"/>
  <c r="AT170" i="1"/>
  <c r="AT231"/>
  <c r="AT225"/>
  <c r="AT241"/>
  <c r="AT51"/>
  <c r="AT276"/>
  <c r="AT275"/>
  <c r="AT317"/>
  <c r="AT270"/>
  <c r="AT327"/>
  <c r="AT315"/>
  <c r="AT324"/>
  <c r="AT320"/>
  <c r="AT314"/>
  <c r="AT309"/>
  <c r="AT291"/>
  <c r="AT299"/>
  <c r="F21" i="3"/>
  <c r="AM7" i="1"/>
  <c r="AM13"/>
  <c r="AM18"/>
  <c r="AM16"/>
  <c r="AM11"/>
  <c r="AM8"/>
  <c r="AM17"/>
  <c r="AM15"/>
  <c r="AM12"/>
  <c r="AM9"/>
  <c r="AM19"/>
  <c r="AM20"/>
  <c r="AM10"/>
  <c r="AM14"/>
  <c r="M11" i="2"/>
  <c r="B12"/>
  <c r="B13" l="1"/>
  <c r="M12"/>
  <c r="B14" l="1"/>
  <c r="M13"/>
  <c r="M14" l="1"/>
  <c r="B15"/>
  <c r="M15" l="1"/>
  <c r="B16"/>
  <c r="M16" l="1"/>
  <c r="B17"/>
  <c r="B18" l="1"/>
  <c r="M17"/>
  <c r="M18" l="1"/>
  <c r="B19"/>
  <c r="M19" l="1"/>
  <c r="B20"/>
  <c r="M20" l="1"/>
  <c r="B21"/>
  <c r="B22" l="1"/>
  <c r="M21"/>
  <c r="M22" l="1"/>
  <c r="B23"/>
  <c r="M23" l="1"/>
  <c r="B24"/>
  <c r="M24" l="1"/>
  <c r="B25"/>
  <c r="B26" l="1"/>
  <c r="M25"/>
  <c r="M26" l="1"/>
  <c r="B27"/>
  <c r="M27" l="1"/>
  <c r="B28"/>
  <c r="B29" l="1"/>
  <c r="M28"/>
  <c r="B30" l="1"/>
  <c r="M29"/>
  <c r="M30" l="1"/>
  <c r="B31"/>
  <c r="M31" l="1"/>
  <c r="B32"/>
  <c r="M32" l="1"/>
  <c r="B33"/>
  <c r="B34" l="1"/>
  <c r="M33"/>
  <c r="M34" l="1"/>
  <c r="B35"/>
  <c r="M35" l="1"/>
  <c r="B36"/>
  <c r="M36" l="1"/>
  <c r="B4" i="1"/>
  <c r="Q4"/>
  <c r="W6"/>
  <c r="X6"/>
  <c r="Y6"/>
  <c r="Z6"/>
  <c r="AA6"/>
  <c r="AB6"/>
  <c r="AC6"/>
  <c r="AD6"/>
  <c r="AE6"/>
  <c r="AF6"/>
  <c r="AH6"/>
  <c r="AI6"/>
  <c r="AJ6"/>
  <c r="AK6"/>
  <c r="AL6"/>
  <c r="AN6"/>
  <c r="B7"/>
  <c r="E7"/>
  <c r="W7"/>
  <c r="X7"/>
  <c r="Y7"/>
  <c r="Z7"/>
  <c r="AA7"/>
  <c r="AB7"/>
  <c r="AC7"/>
  <c r="AD7"/>
  <c r="AE7"/>
  <c r="AF7"/>
  <c r="AH7"/>
  <c r="AI7"/>
  <c r="AJ7"/>
  <c r="AK7"/>
  <c r="AL7"/>
  <c r="AN7"/>
  <c r="E8"/>
  <c r="G8"/>
  <c r="W8"/>
  <c r="X8"/>
  <c r="Y8"/>
  <c r="Z8"/>
  <c r="AA8"/>
  <c r="AB8"/>
  <c r="AC8"/>
  <c r="AD8"/>
  <c r="AE8"/>
  <c r="AF8"/>
  <c r="AH8"/>
  <c r="AI8"/>
  <c r="AJ8"/>
  <c r="AK8"/>
  <c r="AL8"/>
  <c r="AN8"/>
  <c r="W9"/>
  <c r="X9"/>
  <c r="Y9"/>
  <c r="Z9"/>
  <c r="AA9"/>
  <c r="AB9"/>
  <c r="AC9"/>
  <c r="AD9"/>
  <c r="AE9"/>
  <c r="AF9"/>
  <c r="AH9"/>
  <c r="AI9"/>
  <c r="AJ9"/>
  <c r="AK9"/>
  <c r="AL9"/>
  <c r="AN9"/>
  <c r="W10"/>
  <c r="X10"/>
  <c r="Y10"/>
  <c r="Z10"/>
  <c r="AA10"/>
  <c r="AB10"/>
  <c r="AC10"/>
  <c r="AD10"/>
  <c r="AE10"/>
  <c r="AF10"/>
  <c r="AH10"/>
  <c r="AI10"/>
  <c r="AJ10"/>
  <c r="AK10"/>
  <c r="AL10"/>
  <c r="AN10"/>
  <c r="E11"/>
  <c r="W11"/>
  <c r="X11"/>
  <c r="Y11"/>
  <c r="Z11"/>
  <c r="AA11"/>
  <c r="AB11"/>
  <c r="AC11"/>
  <c r="AD11"/>
  <c r="AE11"/>
  <c r="AF11"/>
  <c r="AH11"/>
  <c r="AI11"/>
  <c r="AJ11"/>
  <c r="AK11"/>
  <c r="AL11"/>
  <c r="AN11"/>
  <c r="E12"/>
  <c r="G12"/>
  <c r="W12"/>
  <c r="X12"/>
  <c r="Y12"/>
  <c r="Z12"/>
  <c r="AA12"/>
  <c r="AB12"/>
  <c r="AC12"/>
  <c r="AD12"/>
  <c r="AE12"/>
  <c r="AF12"/>
  <c r="AH12"/>
  <c r="AI12"/>
  <c r="AJ12"/>
  <c r="AK12"/>
  <c r="AL12"/>
  <c r="AN12"/>
  <c r="E13"/>
  <c r="W13"/>
  <c r="X13"/>
  <c r="Y13"/>
  <c r="Z13"/>
  <c r="AA13"/>
  <c r="AB13"/>
  <c r="AC13"/>
  <c r="AD13"/>
  <c r="AE13"/>
  <c r="AF13"/>
  <c r="AH13"/>
  <c r="AI13"/>
  <c r="AJ13"/>
  <c r="AK13"/>
  <c r="AL13"/>
  <c r="AN13"/>
  <c r="E14"/>
  <c r="W14"/>
  <c r="X14"/>
  <c r="Y14"/>
  <c r="Z14"/>
  <c r="AA14"/>
  <c r="AB14"/>
  <c r="AC14"/>
  <c r="AD14"/>
  <c r="AE14"/>
  <c r="AF14"/>
  <c r="AH14"/>
  <c r="AI14"/>
  <c r="AJ14"/>
  <c r="AK14"/>
  <c r="AL14"/>
  <c r="AN14"/>
  <c r="E15"/>
  <c r="W15"/>
  <c r="X15"/>
  <c r="Y15"/>
  <c r="Z15"/>
  <c r="AA15"/>
  <c r="AB15"/>
  <c r="AC15"/>
  <c r="AD15"/>
  <c r="AE15"/>
  <c r="AF15"/>
  <c r="AH15"/>
  <c r="AI15"/>
  <c r="AJ15"/>
  <c r="AK15"/>
  <c r="AL15"/>
  <c r="AN15"/>
  <c r="W16"/>
  <c r="X16"/>
  <c r="Y16"/>
  <c r="Z16"/>
  <c r="AA16"/>
  <c r="AB16"/>
  <c r="AC16"/>
  <c r="AD16"/>
  <c r="AE16"/>
  <c r="AF16"/>
  <c r="AH16"/>
  <c r="AI16"/>
  <c r="AJ16"/>
  <c r="AK16"/>
  <c r="AL16"/>
  <c r="AN16"/>
  <c r="W17"/>
  <c r="X17"/>
  <c r="Y17"/>
  <c r="Z17"/>
  <c r="AA17"/>
  <c r="AB17"/>
  <c r="AC17"/>
  <c r="AD17"/>
  <c r="AE17"/>
  <c r="AF17"/>
  <c r="AH17"/>
  <c r="AI17"/>
  <c r="AJ17"/>
  <c r="AK17"/>
  <c r="AL17"/>
  <c r="AN17"/>
  <c r="W18"/>
  <c r="X18"/>
  <c r="Y18"/>
  <c r="Z18"/>
  <c r="AA18"/>
  <c r="AB18"/>
  <c r="AC18"/>
  <c r="AD18"/>
  <c r="AE18"/>
  <c r="AF18"/>
  <c r="AH18"/>
  <c r="AI18"/>
  <c r="AJ18"/>
  <c r="AK18"/>
  <c r="AL18"/>
  <c r="AN18"/>
  <c r="W19"/>
  <c r="X19"/>
  <c r="Y19"/>
  <c r="Z19"/>
  <c r="AA19"/>
  <c r="AB19"/>
  <c r="AC19"/>
  <c r="AD19"/>
  <c r="AE19"/>
  <c r="AF19"/>
  <c r="AH19"/>
  <c r="AI19"/>
  <c r="AJ19"/>
  <c r="AK19"/>
  <c r="AL19"/>
  <c r="AN19"/>
  <c r="W20"/>
  <c r="X20"/>
  <c r="Y20"/>
  <c r="Z20"/>
  <c r="AA20"/>
  <c r="AB20"/>
  <c r="AC20"/>
  <c r="AD20"/>
  <c r="AE20"/>
  <c r="AF20"/>
  <c r="AH20"/>
  <c r="AI20"/>
  <c r="AJ20"/>
  <c r="AK20"/>
  <c r="AL20"/>
  <c r="AN20"/>
  <c r="W21"/>
  <c r="X21"/>
  <c r="AD21"/>
  <c r="AI21"/>
  <c r="AK21"/>
  <c r="U22"/>
  <c r="AM26"/>
  <c r="AM27"/>
  <c r="E28"/>
  <c r="AD28"/>
  <c r="AM28"/>
  <c r="E29"/>
  <c r="AD29"/>
  <c r="AM29"/>
  <c r="AM30"/>
  <c r="E31"/>
  <c r="AM31"/>
  <c r="D32"/>
  <c r="E32"/>
  <c r="AM32"/>
  <c r="J33"/>
  <c r="L33"/>
  <c r="AM33"/>
  <c r="B34"/>
  <c r="E34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C7" i="2"/>
  <c r="D7"/>
  <c r="E7"/>
  <c r="G7"/>
  <c r="H7"/>
  <c r="I7"/>
  <c r="J7"/>
  <c r="K7"/>
  <c r="L7"/>
  <c r="N7"/>
  <c r="C8"/>
  <c r="D8"/>
  <c r="E8"/>
  <c r="G8"/>
  <c r="H8"/>
  <c r="I8"/>
  <c r="J8"/>
  <c r="K8"/>
  <c r="L8"/>
  <c r="N8"/>
  <c r="C9"/>
  <c r="D9"/>
  <c r="E9"/>
  <c r="G9"/>
  <c r="H9"/>
  <c r="I9"/>
  <c r="J9"/>
  <c r="K9"/>
  <c r="L9"/>
  <c r="N9"/>
  <c r="C10"/>
  <c r="D10"/>
  <c r="E10"/>
  <c r="G10"/>
  <c r="H10"/>
  <c r="I10"/>
  <c r="J10"/>
  <c r="K10"/>
  <c r="L10"/>
  <c r="N10"/>
  <c r="C11"/>
  <c r="D11"/>
  <c r="E11"/>
  <c r="G11"/>
  <c r="H11"/>
  <c r="I11"/>
  <c r="J11"/>
  <c r="K11"/>
  <c r="L11"/>
  <c r="N11"/>
  <c r="C12"/>
  <c r="D12"/>
  <c r="E12"/>
  <c r="G12"/>
  <c r="H12"/>
  <c r="I12"/>
  <c r="J12"/>
  <c r="K12"/>
  <c r="L12"/>
  <c r="N12"/>
  <c r="C13"/>
  <c r="D13"/>
  <c r="E13"/>
  <c r="G13"/>
  <c r="H13"/>
  <c r="I13"/>
  <c r="J13"/>
  <c r="K13"/>
  <c r="L13"/>
  <c r="N13"/>
  <c r="C14"/>
  <c r="D14"/>
  <c r="E14"/>
  <c r="G14"/>
  <c r="H14"/>
  <c r="I14"/>
  <c r="J14"/>
  <c r="K14"/>
  <c r="L14"/>
  <c r="N14"/>
  <c r="C15"/>
  <c r="D15"/>
  <c r="E15"/>
  <c r="G15"/>
  <c r="H15"/>
  <c r="I15"/>
  <c r="J15"/>
  <c r="K15"/>
  <c r="L15"/>
  <c r="N15"/>
  <c r="C16"/>
  <c r="D16"/>
  <c r="E16"/>
  <c r="G16"/>
  <c r="H16"/>
  <c r="I16"/>
  <c r="J16"/>
  <c r="K16"/>
  <c r="L16"/>
  <c r="N16"/>
  <c r="C17"/>
  <c r="D17"/>
  <c r="E17"/>
  <c r="G17"/>
  <c r="H17"/>
  <c r="I17"/>
  <c r="J17"/>
  <c r="K17"/>
  <c r="L17"/>
  <c r="N17"/>
  <c r="C18"/>
  <c r="D18"/>
  <c r="E18"/>
  <c r="G18"/>
  <c r="H18"/>
  <c r="I18"/>
  <c r="J18"/>
  <c r="K18"/>
  <c r="L18"/>
  <c r="N18"/>
  <c r="C19"/>
  <c r="D19"/>
  <c r="E19"/>
  <c r="G19"/>
  <c r="H19"/>
  <c r="I19"/>
  <c r="J19"/>
  <c r="K19"/>
  <c r="L19"/>
  <c r="N19"/>
  <c r="C20"/>
  <c r="D20"/>
  <c r="E20"/>
  <c r="G20"/>
  <c r="H20"/>
  <c r="I20"/>
  <c r="J20"/>
  <c r="K20"/>
  <c r="L20"/>
  <c r="N20"/>
  <c r="C21"/>
  <c r="D21"/>
  <c r="E21"/>
  <c r="G21"/>
  <c r="H21"/>
  <c r="I21"/>
  <c r="J21"/>
  <c r="K21"/>
  <c r="L21"/>
  <c r="N21"/>
  <c r="C22"/>
  <c r="D22"/>
  <c r="E22"/>
  <c r="G22"/>
  <c r="H22"/>
  <c r="I22"/>
  <c r="J22"/>
  <c r="K22"/>
  <c r="L22"/>
  <c r="N22"/>
  <c r="C23"/>
  <c r="D23"/>
  <c r="E23"/>
  <c r="G23"/>
  <c r="H23"/>
  <c r="I23"/>
  <c r="J23"/>
  <c r="K23"/>
  <c r="L23"/>
  <c r="N23"/>
  <c r="C24"/>
  <c r="D24"/>
  <c r="E24"/>
  <c r="G24"/>
  <c r="H24"/>
  <c r="I24"/>
  <c r="J24"/>
  <c r="K24"/>
  <c r="L24"/>
  <c r="N24"/>
  <c r="C25"/>
  <c r="D25"/>
  <c r="E25"/>
  <c r="G25"/>
  <c r="H25"/>
  <c r="I25"/>
  <c r="J25"/>
  <c r="K25"/>
  <c r="L25"/>
  <c r="N25"/>
  <c r="C26"/>
  <c r="D26"/>
  <c r="E26"/>
  <c r="G26"/>
  <c r="H26"/>
  <c r="I26"/>
  <c r="J26"/>
  <c r="K26"/>
  <c r="L26"/>
  <c r="N26"/>
  <c r="C27"/>
  <c r="D27"/>
  <c r="E27"/>
  <c r="G27"/>
  <c r="H27"/>
  <c r="I27"/>
  <c r="J27"/>
  <c r="K27"/>
  <c r="L27"/>
  <c r="N27"/>
  <c r="C28"/>
  <c r="D28"/>
  <c r="E28"/>
  <c r="G28"/>
  <c r="H28"/>
  <c r="I28"/>
  <c r="J28"/>
  <c r="K28"/>
  <c r="L28"/>
  <c r="N28"/>
  <c r="C29"/>
  <c r="D29"/>
  <c r="E29"/>
  <c r="G29"/>
  <c r="H29"/>
  <c r="I29"/>
  <c r="J29"/>
  <c r="K29"/>
  <c r="L29"/>
  <c r="N29"/>
  <c r="C30"/>
  <c r="D30"/>
  <c r="E30"/>
  <c r="G30"/>
  <c r="H30"/>
  <c r="I30"/>
  <c r="J30"/>
  <c r="K30"/>
  <c r="L30"/>
  <c r="N30"/>
  <c r="C31"/>
  <c r="D31"/>
  <c r="E31"/>
  <c r="G31"/>
  <c r="H31"/>
  <c r="I31"/>
  <c r="J31"/>
  <c r="K31"/>
  <c r="L31"/>
  <c r="N31"/>
  <c r="C32"/>
  <c r="D32"/>
  <c r="E32"/>
  <c r="G32"/>
  <c r="H32"/>
  <c r="I32"/>
  <c r="J32"/>
  <c r="K32"/>
  <c r="L32"/>
  <c r="N32"/>
  <c r="C33"/>
  <c r="D33"/>
  <c r="E33"/>
  <c r="G33"/>
  <c r="H33"/>
  <c r="I33"/>
  <c r="J33"/>
  <c r="K33"/>
  <c r="L33"/>
  <c r="N33"/>
  <c r="C34"/>
  <c r="D34"/>
  <c r="E34"/>
  <c r="G34"/>
  <c r="H34"/>
  <c r="I34"/>
  <c r="J34"/>
  <c r="K34"/>
  <c r="L34"/>
  <c r="N34"/>
  <c r="C35"/>
  <c r="D35"/>
  <c r="E35"/>
  <c r="G35"/>
  <c r="H35"/>
  <c r="I35"/>
  <c r="J35"/>
  <c r="K35"/>
  <c r="L35"/>
  <c r="N35"/>
  <c r="C36"/>
  <c r="D36"/>
  <c r="E36"/>
  <c r="G36"/>
  <c r="H36"/>
  <c r="I36"/>
  <c r="J36"/>
  <c r="K36"/>
  <c r="L36"/>
  <c r="N36"/>
  <c r="N38"/>
  <c r="C7" i="3"/>
  <c r="D7"/>
  <c r="E7"/>
  <c r="G7"/>
  <c r="H7"/>
  <c r="I7"/>
  <c r="J7"/>
  <c r="K7"/>
  <c r="C8"/>
  <c r="D8"/>
  <c r="E8"/>
  <c r="G8"/>
  <c r="H8"/>
  <c r="I8"/>
  <c r="J8"/>
  <c r="K8"/>
  <c r="C9"/>
  <c r="D9"/>
  <c r="E9"/>
  <c r="G9"/>
  <c r="H9"/>
  <c r="I9"/>
  <c r="J9"/>
  <c r="K9"/>
  <c r="C10"/>
  <c r="D10"/>
  <c r="E10"/>
  <c r="G10"/>
  <c r="H10"/>
  <c r="I10"/>
  <c r="J10"/>
  <c r="K10"/>
  <c r="C11"/>
  <c r="D11"/>
  <c r="E11"/>
  <c r="G11"/>
  <c r="H11"/>
  <c r="I11"/>
  <c r="J11"/>
  <c r="K11"/>
  <c r="C12"/>
  <c r="D12"/>
  <c r="E12"/>
  <c r="G12"/>
  <c r="H12"/>
  <c r="I12"/>
  <c r="J12"/>
  <c r="K12"/>
  <c r="C13"/>
  <c r="D13"/>
  <c r="E13"/>
  <c r="G13"/>
  <c r="H13"/>
  <c r="I13"/>
  <c r="J13"/>
  <c r="K13"/>
  <c r="C14"/>
  <c r="D14"/>
  <c r="E14"/>
  <c r="G14"/>
  <c r="H14"/>
  <c r="I14"/>
  <c r="J14"/>
  <c r="K14"/>
  <c r="C15"/>
  <c r="D15"/>
  <c r="E15"/>
  <c r="G15"/>
  <c r="H15"/>
  <c r="I15"/>
  <c r="J15"/>
  <c r="K15"/>
  <c r="C16"/>
  <c r="D16"/>
  <c r="E16"/>
  <c r="G16"/>
  <c r="H16"/>
  <c r="I16"/>
  <c r="J16"/>
  <c r="K16"/>
  <c r="C17"/>
  <c r="D17"/>
  <c r="E17"/>
  <c r="G17"/>
  <c r="H17"/>
  <c r="I17"/>
  <c r="J17"/>
  <c r="K17"/>
  <c r="C18"/>
  <c r="D18"/>
  <c r="E18"/>
  <c r="G18"/>
  <c r="H18"/>
  <c r="I18"/>
  <c r="J18"/>
  <c r="K18"/>
  <c r="C19"/>
  <c r="D19"/>
  <c r="E19"/>
  <c r="G19"/>
  <c r="H19"/>
  <c r="I19"/>
  <c r="J19"/>
  <c r="K19"/>
  <c r="C20"/>
  <c r="D20"/>
  <c r="E20"/>
  <c r="G20"/>
  <c r="H20"/>
  <c r="I20"/>
  <c r="J20"/>
  <c r="K20"/>
  <c r="C21"/>
  <c r="D21"/>
  <c r="E21"/>
  <c r="G21"/>
  <c r="H21"/>
  <c r="I21"/>
  <c r="J21"/>
  <c r="K21"/>
  <c r="C22"/>
  <c r="D22"/>
  <c r="E22"/>
  <c r="G22"/>
  <c r="H22"/>
  <c r="I22"/>
  <c r="J22"/>
  <c r="K22"/>
  <c r="C23"/>
  <c r="D23"/>
  <c r="E23"/>
  <c r="G23"/>
  <c r="H23"/>
  <c r="I23"/>
  <c r="J23"/>
  <c r="K23"/>
  <c r="C24"/>
  <c r="D24"/>
  <c r="E24"/>
  <c r="G24"/>
  <c r="H24"/>
  <c r="I24"/>
  <c r="J24"/>
  <c r="K24"/>
  <c r="C25"/>
  <c r="D25"/>
  <c r="E25"/>
  <c r="G25"/>
  <c r="H25"/>
  <c r="I25"/>
  <c r="J25"/>
  <c r="K25"/>
  <c r="C26"/>
  <c r="D26"/>
  <c r="E26"/>
  <c r="G26"/>
  <c r="H26"/>
  <c r="I26"/>
  <c r="J26"/>
  <c r="K26"/>
  <c r="C27"/>
  <c r="D27"/>
  <c r="E27"/>
  <c r="G27"/>
  <c r="H27"/>
  <c r="I27"/>
  <c r="J27"/>
  <c r="K27"/>
  <c r="C28"/>
  <c r="D28"/>
  <c r="E28"/>
  <c r="G28"/>
  <c r="H28"/>
  <c r="I28"/>
  <c r="J28"/>
  <c r="K28"/>
  <c r="C29"/>
  <c r="D29"/>
  <c r="E29"/>
  <c r="G29"/>
  <c r="H29"/>
  <c r="I29"/>
  <c r="J29"/>
  <c r="K29"/>
  <c r="C30"/>
  <c r="D30"/>
  <c r="E30"/>
  <c r="G30"/>
  <c r="H30"/>
  <c r="I30"/>
  <c r="J30"/>
  <c r="K30"/>
  <c r="C31"/>
  <c r="D31"/>
  <c r="E31"/>
  <c r="G31"/>
  <c r="H31"/>
  <c r="I31"/>
  <c r="J31"/>
  <c r="K31"/>
  <c r="C32"/>
  <c r="D32"/>
  <c r="E32"/>
  <c r="G32"/>
  <c r="H32"/>
  <c r="I32"/>
  <c r="J32"/>
  <c r="K32"/>
  <c r="C33"/>
  <c r="D33"/>
  <c r="E33"/>
  <c r="G33"/>
  <c r="H33"/>
  <c r="I33"/>
  <c r="J33"/>
  <c r="K33"/>
  <c r="C34"/>
  <c r="D34"/>
  <c r="E34"/>
  <c r="G34"/>
  <c r="H34"/>
  <c r="I34"/>
  <c r="J34"/>
  <c r="K34"/>
  <c r="C35"/>
  <c r="D35"/>
  <c r="E35"/>
  <c r="G35"/>
  <c r="H35"/>
  <c r="I35"/>
  <c r="J35"/>
  <c r="K35"/>
  <c r="C36"/>
  <c r="D36"/>
  <c r="E36"/>
  <c r="G36"/>
  <c r="H36"/>
  <c r="I36"/>
  <c r="J36"/>
  <c r="K36"/>
</calcChain>
</file>

<file path=xl/sharedStrings.xml><?xml version="1.0" encoding="utf-8"?>
<sst xmlns="http://schemas.openxmlformats.org/spreadsheetml/2006/main" count="282" uniqueCount="96">
  <si>
    <t>mobilier</t>
  </si>
  <si>
    <t>ingenierie</t>
  </si>
  <si>
    <t>Chambres</t>
  </si>
  <si>
    <t>Notaire</t>
  </si>
  <si>
    <t>budget</t>
  </si>
  <si>
    <t>achat et trav</t>
  </si>
  <si>
    <t>Achat appt</t>
  </si>
  <si>
    <t>Loyer</t>
  </si>
  <si>
    <t>m2</t>
  </si>
  <si>
    <t>taxe fonc</t>
  </si>
  <si>
    <t>Copro</t>
  </si>
  <si>
    <t>Assurance</t>
  </si>
  <si>
    <t>Type</t>
  </si>
  <si>
    <t>T3</t>
  </si>
  <si>
    <t>T4</t>
  </si>
  <si>
    <t>T5</t>
  </si>
  <si>
    <t>T6</t>
  </si>
  <si>
    <t>T7</t>
  </si>
  <si>
    <t>Surface habitable</t>
  </si>
  <si>
    <t>Gestion</t>
  </si>
  <si>
    <t>Charges</t>
  </si>
  <si>
    <t>Montant de la location annuelle :</t>
  </si>
  <si>
    <t>Loyers nets annuels</t>
  </si>
  <si>
    <t>Apport personnel possible</t>
  </si>
  <si>
    <t>Durée du prêt :</t>
  </si>
  <si>
    <t>ass</t>
  </si>
  <si>
    <t xml:space="preserve">Montant : </t>
  </si>
  <si>
    <t xml:space="preserve">Mensualités du prêt </t>
  </si>
  <si>
    <t xml:space="preserve">Taux hors assurance : </t>
  </si>
  <si>
    <t>T1</t>
  </si>
  <si>
    <t>Amorti.</t>
  </si>
  <si>
    <t>immo + mob</t>
  </si>
  <si>
    <t>résultat</t>
  </si>
  <si>
    <t>assu</t>
  </si>
  <si>
    <t>Cumul</t>
  </si>
  <si>
    <t>int. + ass</t>
  </si>
  <si>
    <t>prêt</t>
  </si>
  <si>
    <t>Lyon</t>
  </si>
  <si>
    <t>Villeurbanne</t>
  </si>
  <si>
    <t>Saint Etienne</t>
  </si>
  <si>
    <t>coef</t>
  </si>
  <si>
    <t>Lieu de l'investissement</t>
  </si>
  <si>
    <t>Prix m2</t>
  </si>
  <si>
    <t>Nbre de chambres</t>
  </si>
  <si>
    <t>studio</t>
  </si>
  <si>
    <t>T2</t>
  </si>
  <si>
    <t>T8</t>
  </si>
  <si>
    <t>Estimation des loyers mensuels HC</t>
  </si>
  <si>
    <t>L'APPARTEMENT</t>
  </si>
  <si>
    <t>LE FINANCEMENT</t>
  </si>
  <si>
    <t>SIMULATION D'INVESTISSEMENT MEUBLE CLES EN MAIN COLOC INVEST</t>
  </si>
  <si>
    <t>Loyers</t>
  </si>
  <si>
    <t>Evolution prix m2</t>
  </si>
  <si>
    <t>Estimation de l'évolution des loyers et des charges :</t>
  </si>
  <si>
    <t>Années</t>
  </si>
  <si>
    <t xml:space="preserve">Résultat </t>
  </si>
  <si>
    <t>Solde</t>
  </si>
  <si>
    <t>Evolution immo</t>
  </si>
  <si>
    <t>Evolution loyers et charges</t>
  </si>
  <si>
    <t>Rembt de prêt, charges et taxes</t>
  </si>
  <si>
    <t xml:space="preserve">Loyers  bruts </t>
  </si>
  <si>
    <t>Les loyers de vos locataires</t>
  </si>
  <si>
    <t xml:space="preserve">                   Simulation et photo non contractuelles</t>
  </si>
  <si>
    <t xml:space="preserve"> </t>
  </si>
  <si>
    <t xml:space="preserve">Les prix correspondent à des valeurs moyennes  constatées sur ces secteurs. Ils peuvent varier en fonction de l'environnement et de l'état des biens. </t>
  </si>
  <si>
    <t>Renseignez les zones jaunes</t>
  </si>
  <si>
    <t>Choisissez vos options dans</t>
  </si>
  <si>
    <t>Apport perso</t>
  </si>
  <si>
    <r>
      <t xml:space="preserve">Montant d'investissement souhaité </t>
    </r>
    <r>
      <rPr>
        <b/>
        <sz val="11"/>
        <color indexed="10"/>
        <rFont val="Calibri"/>
        <family val="2"/>
      </rPr>
      <t>*</t>
    </r>
  </si>
  <si>
    <r>
      <rPr>
        <sz val="12"/>
        <color indexed="10"/>
        <rFont val="Calibri"/>
        <family val="2"/>
      </rPr>
      <t xml:space="preserve">* </t>
    </r>
    <r>
      <rPr>
        <sz val="10"/>
        <color indexed="8"/>
        <rFont val="Calibri"/>
        <family val="2"/>
      </rPr>
      <t>Prix total acte en main, mobilier et agencement compris.</t>
    </r>
  </si>
  <si>
    <t>Frais divers annuels (gestion, syndic, assur.)</t>
  </si>
  <si>
    <t>Estimation de la vacance locative</t>
  </si>
  <si>
    <t>Vacance locative</t>
  </si>
  <si>
    <t xml:space="preserve">cout hors notaire </t>
  </si>
  <si>
    <t>* Loyers annuels sur prix d'acquisition Hors frais d'acte</t>
  </si>
  <si>
    <t>Assurance  DCI</t>
  </si>
  <si>
    <t>Taxe foncière + C.E.T.</t>
  </si>
  <si>
    <t>Taxe foncière et CET</t>
  </si>
  <si>
    <t>Annuités emprunt</t>
  </si>
  <si>
    <t>Epargne mensuelle</t>
  </si>
  <si>
    <t>Taxe foncière CET</t>
  </si>
  <si>
    <t>Intérêts d'emprunt</t>
  </si>
  <si>
    <t>Amort. Annuel Mobilier et immobilier</t>
  </si>
  <si>
    <t>Stock Amort. Reportables</t>
  </si>
  <si>
    <t>Amort. utilisés</t>
  </si>
  <si>
    <t>Amort. Reportés</t>
  </si>
  <si>
    <t>Résultat fiscal</t>
  </si>
  <si>
    <t>RESULTAT FISCAL</t>
  </si>
  <si>
    <t>TRESORERIE</t>
  </si>
  <si>
    <t>Loyers cumulés</t>
  </si>
  <si>
    <t>ou Revenu</t>
  </si>
  <si>
    <t>mensuels</t>
  </si>
  <si>
    <t>Cumul charges</t>
  </si>
  <si>
    <t>Mensualités assurance comprise</t>
  </si>
  <si>
    <t>Renseignements</t>
  </si>
  <si>
    <t>06 01 99 97 34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</si>
</sst>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_€_-;\-* #,##0\ _€_-;_-* &quot;-&quot;??\ _€_-;_-@_-"/>
    <numFmt numFmtId="166" formatCode="#0&quot; m2 &quot;"/>
    <numFmt numFmtId="167" formatCode="#0&quot; ans &quot;"/>
    <numFmt numFmtId="168" formatCode="#0.0&quot; mois &quot;"/>
  </numFmts>
  <fonts count="6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sz val="8"/>
      <color indexed="22"/>
      <name val="Calibri"/>
      <family val="2"/>
    </font>
    <font>
      <b/>
      <sz val="11"/>
      <name val="Calibri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sz val="11"/>
      <color indexed="45"/>
      <name val="Arial"/>
      <family val="2"/>
    </font>
    <font>
      <b/>
      <sz val="11"/>
      <color indexed="14"/>
      <name val="Arial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6"/>
      <name val="Calibri"/>
      <family val="2"/>
    </font>
    <font>
      <sz val="8"/>
      <color indexed="10"/>
      <name val="Arial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17"/>
      <name val="Arial Narrow"/>
      <family val="2"/>
    </font>
    <font>
      <sz val="11"/>
      <color indexed="12"/>
      <name val="Arial Narrow"/>
      <family val="2"/>
    </font>
    <font>
      <sz val="11"/>
      <color indexed="33"/>
      <name val="Arial Narrow"/>
      <family val="2"/>
    </font>
    <font>
      <sz val="10"/>
      <color indexed="14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gradientFill degree="180">
        <stop position="0">
          <color theme="0"/>
        </stop>
        <stop position="1">
          <color rgb="FF175DCF"/>
        </stop>
      </gradientFill>
    </fill>
  </fills>
  <borders count="43">
    <border>
      <left/>
      <right/>
      <top/>
      <bottom/>
      <diagonal/>
    </border>
    <border>
      <left/>
      <right style="double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45"/>
      </right>
      <top/>
      <bottom/>
      <diagonal/>
    </border>
    <border>
      <left style="double">
        <color indexed="45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45"/>
      </bottom>
      <diagonal/>
    </border>
    <border>
      <left style="double">
        <color indexed="45"/>
      </left>
      <right/>
      <top/>
      <bottom style="double">
        <color indexed="45"/>
      </bottom>
      <diagonal/>
    </border>
    <border>
      <left/>
      <right style="double">
        <color indexed="45"/>
      </right>
      <top/>
      <bottom style="double">
        <color indexed="45"/>
      </bottom>
      <diagonal/>
    </border>
    <border>
      <left style="medium">
        <color indexed="64"/>
      </left>
      <right style="double">
        <color indexed="45"/>
      </right>
      <top/>
      <bottom style="medium">
        <color indexed="64"/>
      </bottom>
      <diagonal/>
    </border>
    <border>
      <left style="double">
        <color indexed="45"/>
      </left>
      <right/>
      <top style="double">
        <color indexed="45"/>
      </top>
      <bottom style="double">
        <color indexed="45"/>
      </bottom>
      <diagonal/>
    </border>
    <border>
      <left/>
      <right/>
      <top style="double">
        <color indexed="45"/>
      </top>
      <bottom style="double">
        <color indexed="45"/>
      </bottom>
      <diagonal/>
    </border>
    <border>
      <left/>
      <right style="double">
        <color indexed="45"/>
      </right>
      <top style="double">
        <color indexed="45"/>
      </top>
      <bottom style="double">
        <color indexed="45"/>
      </bottom>
      <diagonal/>
    </border>
    <border>
      <left style="double">
        <color indexed="45"/>
      </left>
      <right/>
      <top style="double">
        <color indexed="45"/>
      </top>
      <bottom/>
      <diagonal/>
    </border>
    <border>
      <left/>
      <right/>
      <top style="double">
        <color indexed="45"/>
      </top>
      <bottom/>
      <diagonal/>
    </border>
    <border>
      <left/>
      <right style="double">
        <color indexed="45"/>
      </right>
      <top style="double">
        <color indexed="4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FF00"/>
      </left>
      <right/>
      <top style="double">
        <color rgb="FFFFFF00"/>
      </top>
      <bottom/>
      <diagonal/>
    </border>
    <border>
      <left/>
      <right style="double">
        <color rgb="FFFFFF00"/>
      </right>
      <top style="double">
        <color rgb="FFFFFF00"/>
      </top>
      <bottom/>
      <diagonal/>
    </border>
    <border>
      <left style="double">
        <color rgb="FFFFFF00"/>
      </left>
      <right/>
      <top/>
      <bottom/>
      <diagonal/>
    </border>
    <border>
      <left/>
      <right style="double">
        <color rgb="FFFFFF00"/>
      </right>
      <top/>
      <bottom/>
      <diagonal/>
    </border>
    <border>
      <left style="double">
        <color rgb="FFFFFF00"/>
      </left>
      <right/>
      <top/>
      <bottom style="double">
        <color rgb="FFFFFF00"/>
      </bottom>
      <diagonal/>
    </border>
    <border>
      <left/>
      <right style="double">
        <color rgb="FFFFFF00"/>
      </right>
      <top/>
      <bottom style="double">
        <color rgb="FFFFFF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164" fontId="31" fillId="0" borderId="0" xfId="2" applyNumberFormat="1" applyFont="1"/>
    <xf numFmtId="165" fontId="31" fillId="0" borderId="0" xfId="1" applyNumberFormat="1" applyFont="1"/>
    <xf numFmtId="0" fontId="0" fillId="0" borderId="0" xfId="0" applyAlignment="1">
      <alignment horizontal="center"/>
    </xf>
    <xf numFmtId="165" fontId="31" fillId="0" borderId="0" xfId="1" applyNumberFormat="1" applyFont="1" applyAlignment="1">
      <alignment horizontal="center"/>
    </xf>
    <xf numFmtId="165" fontId="0" fillId="0" borderId="0" xfId="0" applyNumberFormat="1"/>
    <xf numFmtId="164" fontId="0" fillId="0" borderId="0" xfId="0" applyNumberFormat="1"/>
    <xf numFmtId="164" fontId="31" fillId="0" borderId="0" xfId="2" applyNumberFormat="1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44" fontId="31" fillId="0" borderId="0" xfId="2" applyNumberFormat="1" applyFont="1"/>
    <xf numFmtId="10" fontId="31" fillId="0" borderId="0" xfId="3" applyNumberFormat="1" applyFont="1"/>
    <xf numFmtId="167" fontId="6" fillId="0" borderId="1" xfId="0" applyNumberFormat="1" applyFont="1" applyFill="1" applyBorder="1" applyAlignment="1" applyProtection="1">
      <alignment horizontal="right"/>
      <protection locked="0"/>
    </xf>
    <xf numFmtId="10" fontId="0" fillId="0" borderId="0" xfId="0" applyNumberFormat="1"/>
    <xf numFmtId="0" fontId="0" fillId="0" borderId="0" xfId="0" applyAlignment="1">
      <alignment horizontal="right"/>
    </xf>
    <xf numFmtId="164" fontId="3" fillId="0" borderId="0" xfId="2" applyNumberFormat="1" applyFont="1"/>
    <xf numFmtId="0" fontId="0" fillId="0" borderId="2" xfId="0" applyBorder="1" applyAlignment="1">
      <alignment horizontal="center"/>
    </xf>
    <xf numFmtId="0" fontId="3" fillId="0" borderId="0" xfId="0" applyFont="1"/>
    <xf numFmtId="8" fontId="0" fillId="0" borderId="0" xfId="0" applyNumberFormat="1"/>
    <xf numFmtId="165" fontId="31" fillId="0" borderId="0" xfId="1" applyNumberFormat="1" applyFont="1" applyAlignment="1"/>
    <xf numFmtId="0" fontId="3" fillId="0" borderId="0" xfId="0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" fontId="31" fillId="0" borderId="0" xfId="1" applyNumberFormat="1" applyFont="1"/>
    <xf numFmtId="1" fontId="4" fillId="0" borderId="0" xfId="0" applyNumberFormat="1" applyFont="1" applyFill="1" applyBorder="1" applyAlignment="1">
      <alignment horizontal="center"/>
    </xf>
    <xf numFmtId="164" fontId="11" fillId="0" borderId="3" xfId="2" applyNumberFormat="1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4" xfId="0" applyFont="1" applyBorder="1"/>
    <xf numFmtId="0" fontId="0" fillId="2" borderId="0" xfId="0" applyFill="1"/>
    <xf numFmtId="0" fontId="12" fillId="2" borderId="0" xfId="0" applyFont="1" applyFill="1"/>
    <xf numFmtId="0" fontId="12" fillId="3" borderId="3" xfId="0" applyFont="1" applyFill="1" applyBorder="1"/>
    <xf numFmtId="10" fontId="14" fillId="2" borderId="0" xfId="3" applyNumberFormat="1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0" fillId="0" borderId="5" xfId="0" applyBorder="1"/>
    <xf numFmtId="10" fontId="31" fillId="0" borderId="0" xfId="3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31" fillId="0" borderId="8" xfId="3" applyNumberFormat="1" applyFont="1" applyBorder="1"/>
    <xf numFmtId="0" fontId="12" fillId="4" borderId="3" xfId="0" applyFont="1" applyFill="1" applyBorder="1"/>
    <xf numFmtId="0" fontId="0" fillId="4" borderId="0" xfId="0" applyFill="1" applyBorder="1"/>
    <xf numFmtId="0" fontId="18" fillId="2" borderId="0" xfId="0" applyFont="1" applyFill="1" applyAlignment="1"/>
    <xf numFmtId="1" fontId="0" fillId="0" borderId="0" xfId="0" applyNumberFormat="1"/>
    <xf numFmtId="10" fontId="31" fillId="0" borderId="9" xfId="3" applyNumberFormat="1" applyFont="1" applyBorder="1"/>
    <xf numFmtId="0" fontId="0" fillId="0" borderId="4" xfId="0" applyBorder="1"/>
    <xf numFmtId="0" fontId="0" fillId="0" borderId="0" xfId="0" applyBorder="1"/>
    <xf numFmtId="0" fontId="20" fillId="2" borderId="0" xfId="0" applyFont="1" applyFill="1"/>
    <xf numFmtId="164" fontId="11" fillId="0" borderId="3" xfId="2" applyNumberFormat="1" applyFont="1" applyFill="1" applyBorder="1" applyAlignment="1">
      <alignment horizontal="center"/>
    </xf>
    <xf numFmtId="0" fontId="8" fillId="0" borderId="13" xfId="0" applyFont="1" applyBorder="1"/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164" fontId="8" fillId="4" borderId="16" xfId="2" applyNumberFormat="1" applyFont="1" applyFill="1" applyBorder="1" applyProtection="1">
      <protection locked="0"/>
    </xf>
    <xf numFmtId="164" fontId="19" fillId="0" borderId="3" xfId="2" applyNumberFormat="1" applyFont="1" applyFill="1" applyBorder="1" applyAlignment="1" applyProtection="1">
      <alignment horizontal="right"/>
    </xf>
    <xf numFmtId="0" fontId="27" fillId="0" borderId="3" xfId="0" applyFont="1" applyBorder="1"/>
    <xf numFmtId="0" fontId="16" fillId="5" borderId="4" xfId="0" applyFont="1" applyFill="1" applyBorder="1" applyAlignment="1"/>
    <xf numFmtId="0" fontId="12" fillId="5" borderId="0" xfId="0" applyFont="1" applyFill="1" applyBorder="1" applyAlignment="1"/>
    <xf numFmtId="0" fontId="16" fillId="6" borderId="0" xfId="0" applyFont="1" applyFill="1" applyBorder="1" applyAlignment="1"/>
    <xf numFmtId="0" fontId="3" fillId="6" borderId="4" xfId="0" applyFont="1" applyFill="1" applyBorder="1" applyAlignment="1"/>
    <xf numFmtId="0" fontId="33" fillId="6" borderId="3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left"/>
    </xf>
    <xf numFmtId="10" fontId="8" fillId="6" borderId="3" xfId="3" applyNumberFormat="1" applyFont="1" applyFill="1" applyBorder="1" applyAlignment="1">
      <alignment horizontal="right"/>
    </xf>
    <xf numFmtId="164" fontId="11" fillId="6" borderId="3" xfId="0" applyNumberFormat="1" applyFont="1" applyFill="1" applyBorder="1" applyAlignment="1">
      <alignment horizontal="right"/>
    </xf>
    <xf numFmtId="0" fontId="0" fillId="2" borderId="0" xfId="0" applyFill="1" applyAlignment="1"/>
    <xf numFmtId="0" fontId="8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5" fillId="2" borderId="0" xfId="2" applyNumberFormat="1" applyFont="1" applyFill="1" applyBorder="1" applyAlignment="1">
      <alignment horizontal="center"/>
    </xf>
    <xf numFmtId="164" fontId="10" fillId="2" borderId="0" xfId="0" applyNumberFormat="1" applyFont="1" applyFill="1"/>
    <xf numFmtId="10" fontId="13" fillId="2" borderId="0" xfId="3" applyNumberFormat="1" applyFont="1" applyFill="1" applyAlignment="1">
      <alignment vertical="center"/>
    </xf>
    <xf numFmtId="0" fontId="8" fillId="2" borderId="0" xfId="0" applyFont="1" applyFill="1"/>
    <xf numFmtId="0" fontId="34" fillId="2" borderId="0" xfId="0" applyFont="1" applyFill="1"/>
    <xf numFmtId="0" fontId="3" fillId="2" borderId="0" xfId="0" applyFont="1" applyFill="1" applyBorder="1" applyAlignment="1" applyProtection="1">
      <alignment horizontal="center"/>
    </xf>
    <xf numFmtId="164" fontId="4" fillId="2" borderId="0" xfId="2" applyNumberFormat="1" applyFont="1" applyFill="1" applyBorder="1" applyAlignment="1" applyProtection="1">
      <alignment horizontal="right"/>
    </xf>
    <xf numFmtId="10" fontId="8" fillId="2" borderId="0" xfId="3" applyNumberFormat="1" applyFont="1" applyFill="1" applyBorder="1" applyAlignment="1" applyProtection="1">
      <alignment horizontal="right"/>
    </xf>
    <xf numFmtId="164" fontId="11" fillId="2" borderId="0" xfId="2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Alignment="1" applyProtection="1">
      <alignment horizontal="right"/>
    </xf>
    <xf numFmtId="164" fontId="7" fillId="2" borderId="0" xfId="0" applyNumberFormat="1" applyFont="1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164" fontId="0" fillId="2" borderId="0" xfId="0" applyNumberFormat="1" applyFill="1" applyBorder="1" applyProtection="1"/>
    <xf numFmtId="164" fontId="2" fillId="2" borderId="0" xfId="0" applyNumberFormat="1" applyFont="1" applyFill="1" applyBorder="1" applyProtection="1"/>
    <xf numFmtId="164" fontId="3" fillId="2" borderId="0" xfId="0" applyNumberFormat="1" applyFont="1" applyFill="1" applyBorder="1" applyProtection="1"/>
    <xf numFmtId="0" fontId="8" fillId="6" borderId="0" xfId="0" applyFont="1" applyFill="1" applyBorder="1" applyAlignment="1">
      <alignment horizontal="right"/>
    </xf>
    <xf numFmtId="164" fontId="24" fillId="7" borderId="3" xfId="0" applyNumberFormat="1" applyFont="1" applyFill="1" applyBorder="1"/>
    <xf numFmtId="0" fontId="0" fillId="6" borderId="4" xfId="0" applyFill="1" applyBorder="1" applyAlignment="1"/>
    <xf numFmtId="0" fontId="0" fillId="6" borderId="0" xfId="0" applyFill="1" applyBorder="1" applyAlignment="1"/>
    <xf numFmtId="0" fontId="35" fillId="6" borderId="4" xfId="0" applyFont="1" applyFill="1" applyBorder="1" applyAlignment="1"/>
    <xf numFmtId="0" fontId="35" fillId="6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 applyBorder="1"/>
    <xf numFmtId="0" fontId="17" fillId="6" borderId="0" xfId="0" applyFont="1" applyFill="1" applyBorder="1" applyAlignment="1"/>
    <xf numFmtId="164" fontId="36" fillId="6" borderId="3" xfId="0" applyNumberFormat="1" applyFont="1" applyFill="1" applyBorder="1"/>
    <xf numFmtId="164" fontId="37" fillId="6" borderId="3" xfId="0" applyNumberFormat="1" applyFont="1" applyFill="1" applyBorder="1"/>
    <xf numFmtId="164" fontId="38" fillId="0" borderId="3" xfId="2" applyNumberFormat="1" applyFont="1" applyFill="1" applyBorder="1" applyAlignment="1">
      <alignment horizontal="center"/>
    </xf>
    <xf numFmtId="164" fontId="39" fillId="6" borderId="15" xfId="0" applyNumberFormat="1" applyFont="1" applyFill="1" applyBorder="1"/>
    <xf numFmtId="0" fontId="0" fillId="0" borderId="0" xfId="0" applyAlignment="1">
      <alignment horizontal="center"/>
    </xf>
    <xf numFmtId="164" fontId="47" fillId="0" borderId="0" xfId="2" applyNumberFormat="1" applyFont="1"/>
    <xf numFmtId="164" fontId="7" fillId="0" borderId="0" xfId="2" applyNumberFormat="1" applyFont="1"/>
    <xf numFmtId="165" fontId="46" fillId="0" borderId="0" xfId="1" applyNumberFormat="1" applyFont="1"/>
    <xf numFmtId="164" fontId="31" fillId="10" borderId="2" xfId="2" applyNumberFormat="1" applyFont="1" applyFill="1" applyBorder="1"/>
    <xf numFmtId="164" fontId="23" fillId="13" borderId="3" xfId="0" applyNumberFormat="1" applyFont="1" applyFill="1" applyBorder="1"/>
    <xf numFmtId="164" fontId="23" fillId="15" borderId="3" xfId="0" applyNumberFormat="1" applyFont="1" applyFill="1" applyBorder="1"/>
    <xf numFmtId="0" fontId="0" fillId="13" borderId="4" xfId="0" applyFill="1" applyBorder="1" applyAlignment="1"/>
    <xf numFmtId="0" fontId="0" fillId="13" borderId="0" xfId="0" applyFill="1" applyBorder="1" applyAlignment="1"/>
    <xf numFmtId="0" fontId="8" fillId="13" borderId="0" xfId="0" applyFont="1" applyFill="1" applyBorder="1" applyAlignment="1">
      <alignment horizontal="right"/>
    </xf>
    <xf numFmtId="164" fontId="22" fillId="13" borderId="3" xfId="0" applyNumberFormat="1" applyFont="1" applyFill="1" applyBorder="1"/>
    <xf numFmtId="0" fontId="19" fillId="15" borderId="0" xfId="0" applyFont="1" applyFill="1" applyBorder="1" applyAlignment="1">
      <alignment horizontal="right" vertical="center"/>
    </xf>
    <xf numFmtId="164" fontId="57" fillId="14" borderId="3" xfId="0" applyNumberFormat="1" applyFont="1" applyFill="1" applyBorder="1"/>
    <xf numFmtId="164" fontId="39" fillId="13" borderId="3" xfId="0" applyNumberFormat="1" applyFont="1" applyFill="1" applyBorder="1"/>
    <xf numFmtId="164" fontId="5" fillId="0" borderId="15" xfId="0" applyNumberFormat="1" applyFont="1" applyBorder="1"/>
    <xf numFmtId="0" fontId="5" fillId="0" borderId="14" xfId="0" applyFont="1" applyBorder="1"/>
    <xf numFmtId="164" fontId="31" fillId="16" borderId="2" xfId="2" applyNumberFormat="1" applyFont="1" applyFill="1" applyBorder="1"/>
    <xf numFmtId="164" fontId="0" fillId="16" borderId="2" xfId="0" applyNumberFormat="1" applyFill="1" applyBorder="1"/>
    <xf numFmtId="164" fontId="31" fillId="11" borderId="2" xfId="2" applyNumberFormat="1" applyFont="1" applyFill="1" applyBorder="1"/>
    <xf numFmtId="164" fontId="0" fillId="11" borderId="2" xfId="0" applyNumberFormat="1" applyFill="1" applyBorder="1"/>
    <xf numFmtId="164" fontId="31" fillId="17" borderId="2" xfId="2" applyNumberFormat="1" applyFont="1" applyFill="1" applyBorder="1"/>
    <xf numFmtId="164" fontId="0" fillId="17" borderId="2" xfId="0" applyNumberFormat="1" applyFill="1" applyBorder="1"/>
    <xf numFmtId="1" fontId="0" fillId="10" borderId="26" xfId="0" applyNumberFormat="1" applyFill="1" applyBorder="1" applyAlignment="1">
      <alignment horizontal="center"/>
    </xf>
    <xf numFmtId="164" fontId="0" fillId="0" borderId="27" xfId="0" applyNumberFormat="1" applyBorder="1"/>
    <xf numFmtId="1" fontId="0" fillId="10" borderId="28" xfId="0" applyNumberFormat="1" applyFill="1" applyBorder="1" applyAlignment="1">
      <alignment horizontal="center"/>
    </xf>
    <xf numFmtId="164" fontId="0" fillId="16" borderId="29" xfId="0" applyNumberFormat="1" applyFill="1" applyBorder="1"/>
    <xf numFmtId="164" fontId="0" fillId="11" borderId="29" xfId="0" applyNumberFormat="1" applyFill="1" applyBorder="1"/>
    <xf numFmtId="164" fontId="31" fillId="10" borderId="29" xfId="2" applyNumberFormat="1" applyFont="1" applyFill="1" applyBorder="1"/>
    <xf numFmtId="164" fontId="31" fillId="17" borderId="29" xfId="2" applyNumberFormat="1" applyFont="1" applyFill="1" applyBorder="1"/>
    <xf numFmtId="164" fontId="0" fillId="17" borderId="29" xfId="0" applyNumberFormat="1" applyFill="1" applyBorder="1"/>
    <xf numFmtId="164" fontId="0" fillId="0" borderId="30" xfId="0" applyNumberFormat="1" applyBorder="1"/>
    <xf numFmtId="0" fontId="0" fillId="13" borderId="0" xfId="0" applyFill="1" applyBorder="1"/>
    <xf numFmtId="0" fontId="0" fillId="1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1" fillId="13" borderId="0" xfId="2" applyNumberFormat="1" applyFont="1" applyFill="1" applyBorder="1"/>
    <xf numFmtId="164" fontId="31" fillId="14" borderId="0" xfId="2" applyNumberFormat="1" applyFont="1" applyFill="1" applyBorder="1"/>
    <xf numFmtId="164" fontId="31" fillId="14" borderId="0" xfId="2" applyNumberFormat="1" applyFont="1" applyFill="1" applyBorder="1" applyAlignment="1">
      <alignment horizontal="center"/>
    </xf>
    <xf numFmtId="164" fontId="31" fillId="10" borderId="0" xfId="2" applyNumberFormat="1" applyFont="1" applyFill="1" applyBorder="1"/>
    <xf numFmtId="164" fontId="0" fillId="0" borderId="0" xfId="0" applyNumberFormat="1" applyBorder="1"/>
    <xf numFmtId="1" fontId="0" fillId="13" borderId="0" xfId="0" applyNumberFormat="1" applyFill="1" applyBorder="1"/>
    <xf numFmtId="164" fontId="0" fillId="13" borderId="0" xfId="0" applyNumberFormat="1" applyFill="1" applyBorder="1"/>
    <xf numFmtId="164" fontId="0" fillId="14" borderId="0" xfId="0" applyNumberFormat="1" applyFill="1" applyBorder="1"/>
    <xf numFmtId="0" fontId="0" fillId="0" borderId="31" xfId="0" applyBorder="1"/>
    <xf numFmtId="0" fontId="0" fillId="13" borderId="32" xfId="0" applyFill="1" applyBorder="1"/>
    <xf numFmtId="0" fontId="0" fillId="13" borderId="33" xfId="0" applyFill="1" applyBorder="1"/>
    <xf numFmtId="0" fontId="0" fillId="13" borderId="6" xfId="0" applyFill="1" applyBorder="1"/>
    <xf numFmtId="164" fontId="0" fillId="13" borderId="8" xfId="0" applyNumberFormat="1" applyFill="1" applyBorder="1"/>
    <xf numFmtId="164" fontId="0" fillId="14" borderId="8" xfId="0" applyNumberFormat="1" applyFill="1" applyBorder="1"/>
    <xf numFmtId="164" fontId="31" fillId="14" borderId="8" xfId="2" applyNumberFormat="1" applyFont="1" applyFill="1" applyBorder="1" applyAlignment="1">
      <alignment horizontal="center"/>
    </xf>
    <xf numFmtId="164" fontId="31" fillId="10" borderId="8" xfId="2" applyNumberFormat="1" applyFont="1" applyFill="1" applyBorder="1"/>
    <xf numFmtId="164" fontId="0" fillId="0" borderId="8" xfId="0" applyNumberFormat="1" applyBorder="1"/>
    <xf numFmtId="164" fontId="31" fillId="13" borderId="8" xfId="2" applyNumberFormat="1" applyFont="1" applyFill="1" applyBorder="1"/>
    <xf numFmtId="1" fontId="0" fillId="13" borderId="8" xfId="0" applyNumberFormat="1" applyFill="1" applyBorder="1"/>
    <xf numFmtId="0" fontId="0" fillId="13" borderId="8" xfId="0" applyFill="1" applyBorder="1"/>
    <xf numFmtId="0" fontId="0" fillId="13" borderId="9" xfId="0" applyFill="1" applyBorder="1"/>
    <xf numFmtId="0" fontId="0" fillId="11" borderId="32" xfId="0" applyFill="1" applyBorder="1" applyAlignment="1">
      <alignment horizontal="center" vertical="center" wrapText="1"/>
    </xf>
    <xf numFmtId="1" fontId="0" fillId="10" borderId="5" xfId="0" applyNumberFormat="1" applyFill="1" applyBorder="1" applyAlignment="1">
      <alignment horizontal="center"/>
    </xf>
    <xf numFmtId="164" fontId="31" fillId="0" borderId="6" xfId="2" applyNumberFormat="1" applyFont="1" applyBorder="1"/>
    <xf numFmtId="1" fontId="0" fillId="10" borderId="7" xfId="0" applyNumberFormat="1" applyFill="1" applyBorder="1" applyAlignment="1">
      <alignment horizontal="center"/>
    </xf>
    <xf numFmtId="164" fontId="31" fillId="0" borderId="9" xfId="2" applyNumberFormat="1" applyFont="1" applyBorder="1"/>
    <xf numFmtId="0" fontId="0" fillId="10" borderId="0" xfId="0" applyFill="1"/>
    <xf numFmtId="164" fontId="0" fillId="10" borderId="0" xfId="0" applyNumberFormat="1" applyFill="1"/>
    <xf numFmtId="166" fontId="4" fillId="0" borderId="2" xfId="0" applyNumberFormat="1" applyFont="1" applyFill="1" applyBorder="1" applyAlignment="1">
      <alignment horizontal="center"/>
    </xf>
    <xf numFmtId="8" fontId="0" fillId="19" borderId="0" xfId="0" applyNumberFormat="1" applyFill="1"/>
    <xf numFmtId="8" fontId="0" fillId="0" borderId="0" xfId="0" applyNumberFormat="1" applyFill="1"/>
    <xf numFmtId="0" fontId="61" fillId="20" borderId="17" xfId="0" applyFont="1" applyFill="1" applyBorder="1" applyAlignment="1">
      <alignment horizontal="center"/>
    </xf>
    <xf numFmtId="0" fontId="61" fillId="20" borderId="18" xfId="0" applyFont="1" applyFill="1" applyBorder="1" applyAlignment="1">
      <alignment horizontal="center"/>
    </xf>
    <xf numFmtId="0" fontId="61" fillId="20" borderId="19" xfId="0" applyFont="1" applyFill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0" fillId="0" borderId="0" xfId="0" applyFill="1" applyBorder="1" applyAlignment="1"/>
    <xf numFmtId="0" fontId="3" fillId="5" borderId="4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10" fontId="14" fillId="8" borderId="0" xfId="3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4" fillId="6" borderId="14" xfId="0" applyFont="1" applyFill="1" applyBorder="1" applyAlignment="1">
      <alignment horizontal="left"/>
    </xf>
    <xf numFmtId="0" fontId="44" fillId="6" borderId="13" xfId="0" applyFont="1" applyFill="1" applyBorder="1" applyAlignment="1">
      <alignment horizontal="left"/>
    </xf>
    <xf numFmtId="165" fontId="50" fillId="0" borderId="0" xfId="1" applyNumberFormat="1" applyFont="1" applyAlignment="1">
      <alignment horizontal="center"/>
    </xf>
    <xf numFmtId="0" fontId="12" fillId="6" borderId="4" xfId="0" applyFont="1" applyFill="1" applyBorder="1" applyAlignment="1"/>
    <xf numFmtId="0" fontId="0" fillId="6" borderId="0" xfId="0" applyFill="1" applyAlignment="1"/>
    <xf numFmtId="0" fontId="8" fillId="13" borderId="4" xfId="0" applyFont="1" applyFill="1" applyBorder="1" applyAlignment="1">
      <alignment horizontal="right"/>
    </xf>
    <xf numFmtId="0" fontId="45" fillId="13" borderId="0" xfId="0" applyFont="1" applyFill="1" applyBorder="1" applyAlignment="1">
      <alignment horizontal="right"/>
    </xf>
    <xf numFmtId="0" fontId="11" fillId="14" borderId="4" xfId="0" applyFont="1" applyFill="1" applyBorder="1" applyAlignment="1">
      <alignment horizontal="right"/>
    </xf>
    <xf numFmtId="0" fontId="11" fillId="14" borderId="0" xfId="0" applyFont="1" applyFill="1" applyBorder="1" applyAlignment="1">
      <alignment horizontal="right"/>
    </xf>
    <xf numFmtId="0" fontId="16" fillId="5" borderId="4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51" fillId="6" borderId="0" xfId="0" applyFont="1" applyFill="1" applyAlignment="1">
      <alignment horizontal="center"/>
    </xf>
    <xf numFmtId="0" fontId="60" fillId="20" borderId="40" xfId="0" applyFont="1" applyFill="1" applyBorder="1" applyAlignment="1">
      <alignment horizontal="center"/>
    </xf>
    <xf numFmtId="0" fontId="60" fillId="20" borderId="41" xfId="0" applyFont="1" applyFill="1" applyBorder="1" applyAlignment="1">
      <alignment horizontal="center"/>
    </xf>
    <xf numFmtId="0" fontId="60" fillId="20" borderId="42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0" fillId="5" borderId="0" xfId="0" applyFill="1" applyAlignment="1"/>
    <xf numFmtId="0" fontId="17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164" fontId="41" fillId="2" borderId="4" xfId="2" applyNumberFormat="1" applyFont="1" applyFill="1" applyBorder="1" applyAlignment="1" applyProtection="1">
      <alignment horizontal="center"/>
    </xf>
    <xf numFmtId="164" fontId="41" fillId="2" borderId="0" xfId="2" applyNumberFormat="1" applyFont="1" applyFill="1" applyBorder="1" applyAlignment="1" applyProtection="1">
      <alignment horizontal="center"/>
    </xf>
    <xf numFmtId="0" fontId="3" fillId="5" borderId="4" xfId="0" applyFont="1" applyFill="1" applyBorder="1" applyAlignment="1"/>
    <xf numFmtId="0" fontId="0" fillId="0" borderId="0" xfId="0" applyFont="1" applyBorder="1" applyAlignment="1"/>
    <xf numFmtId="0" fontId="42" fillId="6" borderId="4" xfId="0" applyFont="1" applyFill="1" applyBorder="1" applyAlignment="1">
      <alignment horizontal="left"/>
    </xf>
    <xf numFmtId="0" fontId="42" fillId="6" borderId="0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0" fillId="0" borderId="4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10" fontId="13" fillId="9" borderId="0" xfId="3" applyNumberFormat="1" applyFont="1" applyFill="1" applyAlignment="1">
      <alignment horizontal="center" vertical="center"/>
    </xf>
    <xf numFmtId="0" fontId="26" fillId="2" borderId="20" xfId="0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0" fillId="0" borderId="0" xfId="0" applyAlignment="1"/>
    <xf numFmtId="0" fontId="34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164" fontId="30" fillId="18" borderId="34" xfId="2" applyNumberFormat="1" applyFont="1" applyFill="1" applyBorder="1" applyAlignment="1">
      <alignment vertical="center"/>
    </xf>
    <xf numFmtId="164" fontId="30" fillId="18" borderId="35" xfId="2" applyNumberFormat="1" applyFont="1" applyFill="1" applyBorder="1" applyAlignment="1">
      <alignment vertical="center"/>
    </xf>
    <xf numFmtId="164" fontId="30" fillId="18" borderId="36" xfId="2" applyNumberFormat="1" applyFont="1" applyFill="1" applyBorder="1" applyAlignment="1">
      <alignment vertical="center"/>
    </xf>
    <xf numFmtId="164" fontId="30" fillId="18" borderId="37" xfId="2" applyNumberFormat="1" applyFont="1" applyFill="1" applyBorder="1" applyAlignment="1">
      <alignment vertical="center"/>
    </xf>
    <xf numFmtId="164" fontId="30" fillId="18" borderId="38" xfId="2" applyNumberFormat="1" applyFont="1" applyFill="1" applyBorder="1" applyAlignment="1">
      <alignment vertical="center"/>
    </xf>
    <xf numFmtId="164" fontId="30" fillId="18" borderId="39" xfId="2" applyNumberFormat="1" applyFont="1" applyFill="1" applyBorder="1" applyAlignment="1">
      <alignment vertical="center"/>
    </xf>
    <xf numFmtId="0" fontId="43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164" fontId="59" fillId="10" borderId="0" xfId="0" applyNumberFormat="1" applyFont="1" applyFill="1" applyAlignment="1">
      <alignment horizontal="center" vertical="center" wrapText="1"/>
    </xf>
    <xf numFmtId="164" fontId="0" fillId="10" borderId="0" xfId="0" applyNumberFormat="1" applyFill="1" applyAlignment="1">
      <alignment horizontal="center" vertical="center" wrapText="1"/>
    </xf>
    <xf numFmtId="164" fontId="0" fillId="10" borderId="0" xfId="0" applyNumberFormat="1" applyFill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32" xfId="0" applyFont="1" applyFill="1" applyBorder="1" applyAlignment="1">
      <alignment horizontal="center" vertical="center" wrapText="1"/>
    </xf>
    <xf numFmtId="0" fontId="49" fillId="10" borderId="33" xfId="0" applyFont="1" applyFill="1" applyBorder="1" applyAlignment="1">
      <alignment horizontal="center" vertical="center" wrapText="1"/>
    </xf>
    <xf numFmtId="0" fontId="49" fillId="10" borderId="5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 wrapText="1"/>
    </xf>
    <xf numFmtId="0" fontId="49" fillId="10" borderId="6" xfId="0" applyFont="1" applyFill="1" applyBorder="1" applyAlignment="1">
      <alignment horizontal="center" vertical="center" wrapText="1"/>
    </xf>
    <xf numFmtId="0" fontId="49" fillId="10" borderId="7" xfId="0" applyFont="1" applyFill="1" applyBorder="1" applyAlignment="1">
      <alignment horizontal="center" vertical="center" wrapText="1"/>
    </xf>
    <xf numFmtId="0" fontId="49" fillId="10" borderId="8" xfId="0" applyFont="1" applyFill="1" applyBorder="1" applyAlignment="1">
      <alignment horizontal="center" vertical="center" wrapText="1"/>
    </xf>
    <xf numFmtId="0" fontId="49" fillId="10" borderId="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3" borderId="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1" fontId="0" fillId="13" borderId="5" xfId="0" applyNumberFormat="1" applyFill="1" applyBorder="1" applyAlignment="1">
      <alignment horizontal="center"/>
    </xf>
    <xf numFmtId="1" fontId="0" fillId="13" borderId="0" xfId="0" applyNumberFormat="1" applyFill="1" applyBorder="1" applyAlignment="1">
      <alignment horizontal="center"/>
    </xf>
    <xf numFmtId="1" fontId="0" fillId="13" borderId="6" xfId="0" applyNumberFormat="1" applyFill="1" applyBorder="1" applyAlignment="1">
      <alignment horizontal="center"/>
    </xf>
    <xf numFmtId="1" fontId="58" fillId="13" borderId="5" xfId="0" applyNumberFormat="1" applyFont="1" applyFill="1" applyBorder="1" applyAlignment="1">
      <alignment horizontal="center" vertical="center" wrapText="1"/>
    </xf>
    <xf numFmtId="1" fontId="56" fillId="13" borderId="0" xfId="0" applyNumberFormat="1" applyFont="1" applyFill="1" applyBorder="1" applyAlignment="1">
      <alignment horizontal="center" vertical="center" wrapText="1"/>
    </xf>
    <xf numFmtId="1" fontId="56" fillId="13" borderId="6" xfId="0" applyNumberFormat="1" applyFont="1" applyFill="1" applyBorder="1" applyAlignment="1">
      <alignment horizontal="center" vertical="center" wrapText="1"/>
    </xf>
    <xf numFmtId="1" fontId="56" fillId="13" borderId="5" xfId="0" applyNumberFormat="1" applyFont="1" applyFill="1" applyBorder="1" applyAlignment="1">
      <alignment horizontal="center" vertical="center" wrapText="1"/>
    </xf>
    <xf numFmtId="0" fontId="49" fillId="13" borderId="31" xfId="0" applyFont="1" applyFill="1" applyBorder="1" applyAlignment="1" applyProtection="1">
      <alignment horizontal="center" vertical="center"/>
      <protection locked="0"/>
    </xf>
    <xf numFmtId="0" fontId="0" fillId="13" borderId="32" xfId="0" applyFill="1" applyBorder="1" applyAlignment="1" applyProtection="1">
      <alignment horizontal="center" vertical="center"/>
      <protection locked="0"/>
    </xf>
    <xf numFmtId="0" fontId="0" fillId="13" borderId="33" xfId="0" applyFill="1" applyBorder="1" applyAlignment="1" applyProtection="1">
      <alignment horizontal="center" vertical="center"/>
      <protection locked="0"/>
    </xf>
    <xf numFmtId="0" fontId="0" fillId="13" borderId="5" xfId="0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7" xfId="0" applyFill="1" applyBorder="1" applyAlignment="1" applyProtection="1">
      <alignment horizontal="center" vertical="center"/>
      <protection locked="0"/>
    </xf>
    <xf numFmtId="0" fontId="0" fillId="13" borderId="8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0" borderId="31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3" borderId="32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10" fontId="0" fillId="19" borderId="0" xfId="0" applyNumberFormat="1" applyFill="1"/>
    <xf numFmtId="0" fontId="0" fillId="0" borderId="0" xfId="0" applyAlignment="1" applyProtection="1">
      <alignment horizontal="center"/>
      <protection locked="0"/>
    </xf>
    <xf numFmtId="168" fontId="0" fillId="0" borderId="0" xfId="0" applyNumberFormat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5" fontId="62" fillId="0" borderId="3" xfId="0" applyNumberFormat="1" applyFont="1" applyFill="1" applyBorder="1" applyAlignment="1">
      <alignment horizontal="center" vertical="center"/>
    </xf>
    <xf numFmtId="5" fontId="62" fillId="0" borderId="15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1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gradientFill degree="180">
          <stop position="0">
            <color theme="0"/>
          </stop>
          <stop position="1">
            <color rgb="FF00B050"/>
          </stop>
        </gradientFill>
      </fill>
    </dxf>
    <dxf>
      <fill>
        <gradientFill degree="180">
          <stop position="0">
            <color theme="0"/>
          </stop>
          <stop position="1">
            <color rgb="FFFF99FF"/>
          </stop>
        </gradientFill>
      </fill>
    </dxf>
    <dxf>
      <fill>
        <patternFill>
          <bgColor theme="1" tint="0.34998626667073579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b/>
        <i val="0"/>
        <color theme="3"/>
      </font>
    </dxf>
    <dxf>
      <font>
        <color theme="4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gradientFill degree="180">
          <stop position="0">
            <color theme="0"/>
          </stop>
          <stop position="1">
            <color rgb="FFF3F9A1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75DCF"/>
      <color rgb="FFF052CE"/>
      <color rgb="FFFFFFCC"/>
      <color rgb="FFFFCC99"/>
      <color rgb="FFFFCCFF"/>
      <color rgb="FFFF99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Répartition du financement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2380760544466832E-2"/>
          <c:y val="0.29918337130935796"/>
          <c:w val="0.60188032302931105"/>
          <c:h val="0.70081662869064443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rgbClr val="FF66FF"/>
              </a:solidFill>
            </c:spPr>
          </c:dPt>
          <c:dPt>
            <c:idx val="2"/>
            <c:spPr>
              <a:solidFill>
                <a:srgbClr val="FFCCFF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Percent val="1"/>
            <c:showLeaderLines val="1"/>
          </c:dLbls>
          <c:cat>
            <c:strRef>
              <c:f>Feuil1!$D$31:$D$33</c:f>
              <c:strCache>
                <c:ptCount val="3"/>
                <c:pt idx="0">
                  <c:v>Les loyers de vos locataires</c:v>
                </c:pt>
                <c:pt idx="1">
                  <c:v>Votre épargne sur 14 ans</c:v>
                </c:pt>
                <c:pt idx="2">
                  <c:v>Votre apport personnel</c:v>
                </c:pt>
              </c:strCache>
            </c:strRef>
          </c:cat>
          <c:val>
            <c:numRef>
              <c:f>Feuil1!$E$31:$E$33</c:f>
              <c:numCache>
                <c:formatCode>_-* #,##0\ "€"_-;\-* #,##0\ "€"_-;_-* "-"??\ "€"_-;_-@_-</c:formatCode>
                <c:ptCount val="3"/>
                <c:pt idx="0">
                  <c:v>168600.93281531282</c:v>
                </c:pt>
                <c:pt idx="1">
                  <c:v>-63959.123529569391</c:v>
                </c:pt>
                <c:pt idx="2">
                  <c:v>20000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35185185185253"/>
          <c:y val="0.2"/>
          <c:w val="0.2939814814814819"/>
          <c:h val="0.70731707317073167"/>
        </c:manualLayout>
      </c:layout>
      <c:spPr>
        <a:noFill/>
      </c:spPr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spPr>
    <a:solidFill>
      <a:schemeClr val="bg1">
        <a:lumMod val="50000"/>
      </a:schemeClr>
    </a:solidFill>
    <a:ln w="19050">
      <a:solidFill>
        <a:srgbClr val="FF66FF"/>
      </a:solidFill>
    </a:ln>
    <a:effectLst>
      <a:innerShdw blurRad="63500" dist="50800" dir="2700000">
        <a:prstClr val="black">
          <a:alpha val="50000"/>
        </a:prstClr>
      </a:innerShdw>
    </a:effectLst>
  </c:spPr>
  <c:txPr>
    <a:bodyPr/>
    <a:lstStyle/>
    <a:p>
      <a:pPr>
        <a:defRPr>
          <a:solidFill>
            <a:schemeClr val="bg1"/>
          </a:solidFill>
        </a:defRPr>
      </a:pPr>
      <a:endParaRPr lang="fr-FR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4</xdr:row>
      <xdr:rowOff>104775</xdr:rowOff>
    </xdr:from>
    <xdr:to>
      <xdr:col>14</xdr:col>
      <xdr:colOff>390525</xdr:colOff>
      <xdr:row>15</xdr:row>
      <xdr:rowOff>0</xdr:rowOff>
    </xdr:to>
    <xdr:pic>
      <xdr:nvPicPr>
        <xdr:cNvPr id="1129" name="Image 4" descr="img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15" r="1793" b="1442"/>
        <a:stretch>
          <a:fillRect/>
        </a:stretch>
      </xdr:blipFill>
      <xdr:spPr bwMode="auto">
        <a:xfrm>
          <a:off x="4467225" y="838200"/>
          <a:ext cx="32480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47623</xdr:colOff>
      <xdr:row>7</xdr:row>
      <xdr:rowOff>171450</xdr:rowOff>
    </xdr:from>
    <xdr:to>
      <xdr:col>10</xdr:col>
      <xdr:colOff>485775</xdr:colOff>
      <xdr:row>9</xdr:row>
      <xdr:rowOff>47625</xdr:rowOff>
    </xdr:to>
    <xdr:sp macro="" textlink="">
      <xdr:nvSpPr>
        <xdr:cNvPr id="4" name="ZoneTexte 3"/>
        <xdr:cNvSpPr txBox="1"/>
      </xdr:nvSpPr>
      <xdr:spPr>
        <a:xfrm>
          <a:off x="4362448" y="1504950"/>
          <a:ext cx="1514477" cy="276225"/>
        </a:xfrm>
        <a:prstGeom prst="rect">
          <a:avLst/>
        </a:prstGeom>
        <a:solidFill>
          <a:srgbClr val="FF99CC">
            <a:alpha val="63137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ysClr val="windowText" lastClr="000000"/>
              </a:solidFill>
            </a:rPr>
            <a:t>Rentabilité  brute *</a:t>
          </a:r>
        </a:p>
      </xdr:txBody>
    </xdr:sp>
    <xdr:clientData/>
  </xdr:twoCellAnchor>
  <xdr:twoCellAnchor>
    <xdr:from>
      <xdr:col>7</xdr:col>
      <xdr:colOff>47625</xdr:colOff>
      <xdr:row>11</xdr:row>
      <xdr:rowOff>161925</xdr:rowOff>
    </xdr:from>
    <xdr:to>
      <xdr:col>10</xdr:col>
      <xdr:colOff>514350</xdr:colOff>
      <xdr:row>13</xdr:row>
      <xdr:rowOff>57150</xdr:rowOff>
    </xdr:to>
    <xdr:sp macro="" textlink="">
      <xdr:nvSpPr>
        <xdr:cNvPr id="3" name="ZoneTexte 2"/>
        <xdr:cNvSpPr txBox="1"/>
      </xdr:nvSpPr>
      <xdr:spPr>
        <a:xfrm>
          <a:off x="4362450" y="2295525"/>
          <a:ext cx="1543050" cy="295275"/>
        </a:xfrm>
        <a:prstGeom prst="rect">
          <a:avLst/>
        </a:prstGeom>
        <a:solidFill>
          <a:srgbClr val="FFFF00">
            <a:alpha val="51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ysClr val="windowText" lastClr="000000"/>
              </a:solidFill>
            </a:rPr>
            <a:t>Rentabilité nette *</a:t>
          </a:r>
        </a:p>
        <a:p>
          <a:r>
            <a:rPr lang="fr-FR" sz="14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 editAs="oneCell">
    <xdr:from>
      <xdr:col>13</xdr:col>
      <xdr:colOff>179733</xdr:colOff>
      <xdr:row>4</xdr:row>
      <xdr:rowOff>184703</xdr:rowOff>
    </xdr:from>
    <xdr:to>
      <xdr:col>16</xdr:col>
      <xdr:colOff>151158</xdr:colOff>
      <xdr:row>19</xdr:row>
      <xdr:rowOff>33545</xdr:rowOff>
    </xdr:to>
    <xdr:pic>
      <xdr:nvPicPr>
        <xdr:cNvPr id="1132" name="Image 5" descr="etd copie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9146" y="921855"/>
          <a:ext cx="1495425" cy="258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30</xdr:row>
      <xdr:rowOff>85725</xdr:rowOff>
    </xdr:from>
    <xdr:to>
      <xdr:col>1</xdr:col>
      <xdr:colOff>552450</xdr:colOff>
      <xdr:row>33</xdr:row>
      <xdr:rowOff>123825</xdr:rowOff>
    </xdr:to>
    <xdr:pic>
      <xdr:nvPicPr>
        <xdr:cNvPr id="1133" name="Image 11" descr="tirelire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5638800"/>
          <a:ext cx="5429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371475</xdr:colOff>
      <xdr:row>20</xdr:row>
      <xdr:rowOff>85725</xdr:rowOff>
    </xdr:from>
    <xdr:to>
      <xdr:col>15</xdr:col>
      <xdr:colOff>257175</xdr:colOff>
      <xdr:row>30</xdr:row>
      <xdr:rowOff>171450</xdr:rowOff>
    </xdr:to>
    <xdr:graphicFrame macro="">
      <xdr:nvGraphicFramePr>
        <xdr:cNvPr id="1134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420687</xdr:colOff>
      <xdr:row>15</xdr:row>
      <xdr:rowOff>53490</xdr:rowOff>
    </xdr:from>
    <xdr:to>
      <xdr:col>13</xdr:col>
      <xdr:colOff>158750</xdr:colOff>
      <xdr:row>19</xdr:row>
      <xdr:rowOff>198781</xdr:rowOff>
    </xdr:to>
    <xdr:sp macro="" textlink="">
      <xdr:nvSpPr>
        <xdr:cNvPr id="8" name="ZoneTexte 7"/>
        <xdr:cNvSpPr txBox="1"/>
      </xdr:nvSpPr>
      <xdr:spPr>
        <a:xfrm>
          <a:off x="4744209" y="2977251"/>
          <a:ext cx="2313954" cy="691943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 b="1"/>
            <a:t>Renseignements :</a:t>
          </a:r>
        </a:p>
        <a:p>
          <a:r>
            <a:rPr lang="fr-FR" sz="1200" b="1"/>
            <a:t>Tél. : 06 01 99 97 34</a:t>
          </a:r>
        </a:p>
        <a:p>
          <a:r>
            <a:rPr lang="fr-FR" sz="1200" b="1"/>
            <a:t>E mail : contact@coloc-invest.fr</a:t>
          </a:r>
        </a:p>
      </xdr:txBody>
    </xdr:sp>
    <xdr:clientData/>
  </xdr:twoCellAnchor>
  <xdr:twoCellAnchor>
    <xdr:from>
      <xdr:col>17</xdr:col>
      <xdr:colOff>49696</xdr:colOff>
      <xdr:row>1</xdr:row>
      <xdr:rowOff>57978</xdr:rowOff>
    </xdr:from>
    <xdr:to>
      <xdr:col>17</xdr:col>
      <xdr:colOff>2542761</xdr:colOff>
      <xdr:row>30</xdr:row>
      <xdr:rowOff>173934</xdr:rowOff>
    </xdr:to>
    <xdr:sp macro="" textlink="">
      <xdr:nvSpPr>
        <xdr:cNvPr id="9" name="ZoneTexte 8"/>
        <xdr:cNvSpPr txBox="1"/>
      </xdr:nvSpPr>
      <xdr:spPr>
        <a:xfrm>
          <a:off x="8746435" y="298174"/>
          <a:ext cx="2493065" cy="54085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Renseignez</a:t>
          </a:r>
          <a:r>
            <a:rPr lang="fr-FR" sz="1100" baseline="0"/>
            <a:t> les parties jaunes à l'aide des menus.</a:t>
          </a:r>
        </a:p>
        <a:p>
          <a:endParaRPr lang="fr-FR" sz="1100" baseline="0"/>
        </a:p>
        <a:p>
          <a:pPr algn="ctr"/>
          <a:r>
            <a:rPr lang="fr-FR" sz="1100" baseline="0"/>
            <a:t>-----------------</a:t>
          </a:r>
          <a:endParaRPr lang="fr-FR" sz="1100"/>
        </a:p>
        <a:p>
          <a:endParaRPr lang="fr-FR" sz="1100"/>
        </a:p>
        <a:p>
          <a:r>
            <a:rPr lang="fr-FR" sz="1100"/>
            <a:t>Si cette application ne fonctionne</a:t>
          </a:r>
          <a:r>
            <a:rPr lang="fr-FR" sz="1100" baseline="0"/>
            <a:t> pas, il se peut que votre logiciel Excel bloque les macros.</a:t>
          </a:r>
          <a:endParaRPr lang="fr-FR" sz="1100"/>
        </a:p>
        <a:p>
          <a:endParaRPr lang="fr-FR" sz="1100"/>
        </a:p>
        <a:p>
          <a:r>
            <a:rPr lang="fr-FR" sz="1100"/>
            <a:t>Pour utiliser cette application vous devez</a:t>
          </a:r>
          <a:r>
            <a:rPr lang="fr-FR" sz="1100" baseline="0"/>
            <a:t> accepter les macros.</a:t>
          </a:r>
        </a:p>
        <a:p>
          <a:endParaRPr lang="fr-FR" sz="1100" baseline="0"/>
        </a:p>
        <a:p>
          <a:r>
            <a:rPr lang="fr-FR" sz="1100" baseline="0"/>
            <a:t> Sous excel 2007 :</a:t>
          </a:r>
        </a:p>
        <a:p>
          <a:endParaRPr lang="fr-FR" sz="1100" baseline="0"/>
        </a:p>
        <a:p>
          <a:r>
            <a:rPr lang="fr-FR" sz="1100" baseline="0"/>
            <a:t>- Allez dans "Options Excel"</a:t>
          </a:r>
        </a:p>
        <a:p>
          <a:r>
            <a:rPr lang="fr-FR" sz="1100" baseline="0"/>
            <a:t>- "Centre de gestion de la confidentialité"</a:t>
          </a:r>
        </a:p>
        <a:p>
          <a:r>
            <a:rPr lang="fr-FR" sz="1100" baseline="0"/>
            <a:t>- "Paramètres de gestion de la confidentialité"</a:t>
          </a:r>
        </a:p>
        <a:p>
          <a:r>
            <a:rPr lang="fr-FR" sz="1100" baseline="0"/>
            <a:t>- "Cochez activer toutes les macros"</a:t>
          </a:r>
        </a:p>
        <a:p>
          <a:r>
            <a:rPr lang="fr-FR" sz="1100" baseline="0"/>
            <a:t>- Cliquez sur OK</a:t>
          </a:r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Peut ne pas fonctionner avec les versions de windows 2000 et antérieures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(c) Coloc Invest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740564</xdr:colOff>
      <xdr:row>0</xdr:row>
      <xdr:rowOff>60566</xdr:rowOff>
    </xdr:from>
    <xdr:to>
      <xdr:col>17</xdr:col>
      <xdr:colOff>4258</xdr:colOff>
      <xdr:row>6</xdr:row>
      <xdr:rowOff>171450</xdr:rowOff>
    </xdr:to>
    <xdr:pic>
      <xdr:nvPicPr>
        <xdr:cNvPr id="2" name="Image 4" descr="img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15" r="1793" b="1442"/>
        <a:stretch>
          <a:fillRect/>
        </a:stretch>
      </xdr:blipFill>
      <xdr:spPr bwMode="auto">
        <a:xfrm>
          <a:off x="8322464" y="60566"/>
          <a:ext cx="1959269" cy="1253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447675</xdr:colOff>
      <xdr:row>1</xdr:row>
      <xdr:rowOff>19050</xdr:rowOff>
    </xdr:from>
    <xdr:to>
      <xdr:col>16</xdr:col>
      <xdr:colOff>353380</xdr:colOff>
      <xdr:row>12</xdr:row>
      <xdr:rowOff>161925</xdr:rowOff>
    </xdr:to>
    <xdr:pic>
      <xdr:nvPicPr>
        <xdr:cNvPr id="3" name="Image 5" descr="etd copie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5" y="209550"/>
          <a:ext cx="1296355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447675</xdr:colOff>
      <xdr:row>19</xdr:row>
      <xdr:rowOff>171450</xdr:rowOff>
    </xdr:from>
    <xdr:to>
      <xdr:col>15</xdr:col>
      <xdr:colOff>676275</xdr:colOff>
      <xdr:row>27</xdr:row>
      <xdr:rowOff>276</xdr:rowOff>
    </xdr:to>
    <xdr:pic>
      <xdr:nvPicPr>
        <xdr:cNvPr id="4" name="Image 3" descr="standardist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72525" y="3790950"/>
          <a:ext cx="933450" cy="13528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409575</xdr:colOff>
      <xdr:row>2</xdr:row>
      <xdr:rowOff>161925</xdr:rowOff>
    </xdr:to>
    <xdr:pic>
      <xdr:nvPicPr>
        <xdr:cNvPr id="6" name="Image 5" descr="LOGO COLOC INVES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23812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0</xdr:row>
      <xdr:rowOff>9525</xdr:rowOff>
    </xdr:from>
    <xdr:to>
      <xdr:col>13</xdr:col>
      <xdr:colOff>498949</xdr:colOff>
      <xdr:row>6</xdr:row>
      <xdr:rowOff>133350</xdr:rowOff>
    </xdr:to>
    <xdr:pic>
      <xdr:nvPicPr>
        <xdr:cNvPr id="3" name="Image 4" descr="img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15" r="1793" b="1442"/>
        <a:stretch>
          <a:fillRect/>
        </a:stretch>
      </xdr:blipFill>
      <xdr:spPr bwMode="auto">
        <a:xfrm>
          <a:off x="8010525" y="9525"/>
          <a:ext cx="1994374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485775</xdr:colOff>
      <xdr:row>1</xdr:row>
      <xdr:rowOff>19050</xdr:rowOff>
    </xdr:from>
    <xdr:to>
      <xdr:col>13</xdr:col>
      <xdr:colOff>258130</xdr:colOff>
      <xdr:row>12</xdr:row>
      <xdr:rowOff>152400</xdr:rowOff>
    </xdr:to>
    <xdr:pic>
      <xdr:nvPicPr>
        <xdr:cNvPr id="4" name="Image 5" descr="etd copie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67725" y="209550"/>
          <a:ext cx="1296355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533400</xdr:colOff>
      <xdr:row>19</xdr:row>
      <xdr:rowOff>139424</xdr:rowOff>
    </xdr:from>
    <xdr:to>
      <xdr:col>12</xdr:col>
      <xdr:colOff>704850</xdr:colOff>
      <xdr:row>26</xdr:row>
      <xdr:rowOff>158750</xdr:rowOff>
    </xdr:to>
    <xdr:pic>
      <xdr:nvPicPr>
        <xdr:cNvPr id="5" name="Image 4" descr="standardist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15350" y="3768449"/>
          <a:ext cx="933450" cy="13528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438150</xdr:colOff>
      <xdr:row>2</xdr:row>
      <xdr:rowOff>161925</xdr:rowOff>
    </xdr:to>
    <xdr:pic>
      <xdr:nvPicPr>
        <xdr:cNvPr id="7" name="Image 6" descr="LOGO COLOC INVES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7175" y="0"/>
          <a:ext cx="23812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Y328"/>
  <sheetViews>
    <sheetView showGridLines="0" showRowColHeaders="0" tabSelected="1" defaultGridColor="0" colorId="42" zoomScale="115" zoomScaleNormal="115" workbookViewId="0">
      <selection activeCell="E20" sqref="E20"/>
    </sheetView>
  </sheetViews>
  <sheetFormatPr baseColWidth="10" defaultRowHeight="15"/>
  <cols>
    <col min="1" max="1" width="2" customWidth="1"/>
    <col min="3" max="3" width="12.85546875" customWidth="1"/>
    <col min="4" max="4" width="12" customWidth="1"/>
    <col min="5" max="5" width="13.140625" customWidth="1"/>
    <col min="6" max="6" width="1.5703125" customWidth="1"/>
    <col min="7" max="7" width="11.7109375" customWidth="1"/>
    <col min="8" max="9" width="6.5703125" customWidth="1"/>
    <col min="10" max="10" width="3" customWidth="1"/>
    <col min="11" max="11" width="9.28515625" customWidth="1"/>
    <col min="12" max="15" width="6.5703125" customWidth="1"/>
    <col min="16" max="16" width="9.7109375" customWidth="1"/>
    <col min="17" max="17" width="4.140625" customWidth="1"/>
    <col min="18" max="18" width="61.5703125" customWidth="1"/>
    <col min="19" max="19" width="11.28515625" hidden="1" customWidth="1"/>
    <col min="20" max="20" width="3.85546875" style="3" hidden="1" customWidth="1"/>
    <col min="21" max="24" width="11.42578125" hidden="1" customWidth="1"/>
    <col min="25" max="26" width="11.85546875" hidden="1" customWidth="1"/>
    <col min="27" max="27" width="10.42578125" hidden="1" customWidth="1"/>
    <col min="28" max="28" width="5.42578125" hidden="1" customWidth="1"/>
    <col min="29" max="29" width="9" hidden="1" customWidth="1"/>
    <col min="30" max="31" width="7" style="2" hidden="1" customWidth="1"/>
    <col min="32" max="32" width="6.28515625" style="2" hidden="1" customWidth="1"/>
    <col min="33" max="33" width="11.42578125" hidden="1" customWidth="1"/>
    <col min="34" max="34" width="9.28515625" style="1" hidden="1" customWidth="1"/>
    <col min="35" max="35" width="8.7109375" hidden="1" customWidth="1"/>
    <col min="36" max="36" width="10.5703125" hidden="1" customWidth="1"/>
    <col min="37" max="37" width="10.7109375" hidden="1" customWidth="1"/>
    <col min="38" max="38" width="11.42578125" hidden="1" customWidth="1"/>
    <col min="39" max="39" width="13.85546875" hidden="1" customWidth="1"/>
    <col min="40" max="50" width="11.42578125" hidden="1" customWidth="1"/>
    <col min="51" max="54" width="11.42578125" customWidth="1"/>
  </cols>
  <sheetData>
    <row r="1" spans="1:40" ht="18.75" customHeight="1" thickBot="1">
      <c r="A1" s="188" t="s">
        <v>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/>
      <c r="R1" s="95"/>
    </row>
    <row r="2" spans="1:40" ht="6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40" ht="14.25" customHeight="1" thickTop="1" thickBot="1">
      <c r="A3" s="28"/>
      <c r="B3" s="165" t="s">
        <v>48</v>
      </c>
      <c r="C3" s="166"/>
      <c r="D3" s="166"/>
      <c r="E3" s="167"/>
      <c r="F3" s="6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75"/>
    </row>
    <row r="4" spans="1:40" ht="18" customHeight="1" thickTop="1">
      <c r="A4" s="28"/>
      <c r="B4" s="212" t="str">
        <f ca="1">IF(E7="Concept Impossible","Le concept nécessite au moins 2 chambres !!!","")</f>
        <v/>
      </c>
      <c r="C4" s="213"/>
      <c r="D4" s="213"/>
      <c r="E4" s="214"/>
      <c r="F4" s="28"/>
      <c r="G4" s="191" t="s">
        <v>53</v>
      </c>
      <c r="H4" s="192"/>
      <c r="I4" s="192"/>
      <c r="J4" s="192"/>
      <c r="K4" s="192"/>
      <c r="L4" s="192"/>
      <c r="M4" s="192"/>
      <c r="N4" s="192"/>
      <c r="O4" s="44"/>
      <c r="P4" s="28"/>
      <c r="Q4" s="28">
        <f ca="1">VLOOKUP(U21,T6:Z20,7,FALSE)/1000</f>
        <v>124.34944237918216</v>
      </c>
      <c r="R4" s="175"/>
      <c r="AL4" s="3" t="s">
        <v>30</v>
      </c>
      <c r="AM4" s="3" t="s">
        <v>36</v>
      </c>
    </row>
    <row r="5" spans="1:40" ht="15.95" customHeight="1">
      <c r="A5" s="28"/>
      <c r="B5" s="197" t="s">
        <v>41</v>
      </c>
      <c r="C5" s="198"/>
      <c r="D5" s="198"/>
      <c r="E5" s="4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75"/>
      <c r="U5" s="3" t="s">
        <v>4</v>
      </c>
      <c r="V5" s="3" t="s">
        <v>1</v>
      </c>
      <c r="W5" s="3" t="s">
        <v>0</v>
      </c>
      <c r="X5" s="3" t="s">
        <v>5</v>
      </c>
      <c r="Y5" s="3" t="s">
        <v>3</v>
      </c>
      <c r="Z5" s="3" t="s">
        <v>6</v>
      </c>
      <c r="AA5" s="208" t="s">
        <v>2</v>
      </c>
      <c r="AB5" s="208"/>
      <c r="AC5" s="3" t="s">
        <v>7</v>
      </c>
      <c r="AD5" s="4" t="s">
        <v>8</v>
      </c>
      <c r="AE5" s="4"/>
      <c r="AF5" s="4" t="s">
        <v>12</v>
      </c>
      <c r="AG5" s="3" t="s">
        <v>11</v>
      </c>
      <c r="AH5" s="7" t="s">
        <v>19</v>
      </c>
      <c r="AI5" s="3" t="s">
        <v>10</v>
      </c>
      <c r="AJ5" s="3" t="s">
        <v>20</v>
      </c>
      <c r="AK5" s="3" t="s">
        <v>9</v>
      </c>
      <c r="AL5" s="3" t="s">
        <v>31</v>
      </c>
      <c r="AM5" s="3" t="s">
        <v>35</v>
      </c>
      <c r="AN5" s="3" t="s">
        <v>32</v>
      </c>
    </row>
    <row r="6" spans="1:40" ht="15.95" customHeight="1">
      <c r="A6" s="28"/>
      <c r="B6" s="170" t="s">
        <v>68</v>
      </c>
      <c r="C6" s="171"/>
      <c r="D6" s="171"/>
      <c r="E6" s="30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75"/>
      <c r="T6" s="15">
        <v>1</v>
      </c>
      <c r="U6" s="1">
        <v>120000</v>
      </c>
      <c r="V6" s="6">
        <f>U6*10%</f>
        <v>12000</v>
      </c>
      <c r="W6" s="5">
        <f ca="1">6200+(1400*AA6)</f>
        <v>10400</v>
      </c>
      <c r="X6">
        <f ca="1">U6-V6-W6</f>
        <v>97600</v>
      </c>
      <c r="Y6" s="1">
        <f ca="1">Z6*9%</f>
        <v>8058.7155963302748</v>
      </c>
      <c r="Z6" s="1">
        <f ca="1">U6-V6-W6-Y6</f>
        <v>89541.284403669721</v>
      </c>
      <c r="AA6" s="2">
        <f t="shared" ref="AA6:AA20" ca="1" si="0">VLOOKUP(AE6,$AG$26:$AH$225,2,TRUE)</f>
        <v>3</v>
      </c>
      <c r="AB6">
        <f t="shared" ref="AB6:AB20" ca="1" si="1">VLOOKUP(AD6,$AH$25:$AI$31,2,TRUE)</f>
        <v>0</v>
      </c>
      <c r="AC6" s="5">
        <f ca="1">$AB$29*AD6</f>
        <v>763.04746709214191</v>
      </c>
      <c r="AD6" s="23">
        <f ca="1">Z6/$AC$29</f>
        <v>77.86198643797367</v>
      </c>
      <c r="AE6" s="23">
        <f ca="1">ROUND(AD6,1)</f>
        <v>77.900000000000006</v>
      </c>
      <c r="AF6" s="22" t="str">
        <f t="shared" ref="AF6:AF11" ca="1" si="2">VLOOKUP(AD6,AG26:AI225,3,TRUE)</f>
        <v>T4</v>
      </c>
      <c r="AG6" s="1">
        <v>180</v>
      </c>
      <c r="AH6" s="1">
        <f ca="1">(AC6+(90*AA6))*(12-$U$47)*6%*1.2</f>
        <v>818.17359393697632</v>
      </c>
      <c r="AI6" s="5">
        <f ca="1">12*AD6</f>
        <v>934.34383725568409</v>
      </c>
      <c r="AJ6" s="6">
        <f ca="1">SUM(AG6:AI6)</f>
        <v>1932.5174311926603</v>
      </c>
      <c r="AK6" s="1">
        <f ca="1">(AD6*10)+500</f>
        <v>1278.6198643797366</v>
      </c>
      <c r="AL6" s="1">
        <f ca="1">((U6-W6)*0.9*3.33%)+W6*10%</f>
        <v>4324.7120000000004</v>
      </c>
      <c r="AM6" s="1">
        <f>-$AT$29</f>
        <v>289.33333333333337</v>
      </c>
      <c r="AN6" s="6">
        <f ca="1">(AC6*11)-AJ6-AK6-AM6-AL6</f>
        <v>568.33950910783096</v>
      </c>
    </row>
    <row r="7" spans="1:40" ht="15.95" customHeight="1">
      <c r="A7" s="28"/>
      <c r="B7" s="61" t="str">
        <f ca="1">IF(E7="Concept impossible","Augmentez le montant investi",CONCATENATE(E7," chambres"))</f>
        <v>3 chambres</v>
      </c>
      <c r="C7" s="60"/>
      <c r="D7" s="63"/>
      <c r="E7" s="62">
        <f ca="1">IF(VLOOKUP($AD$21,$AG$26:$AH$225,2,FALSE)=1,"Concept Impossible",VLOOKUP($AD$21,$AG$26:$AH$225,2,FALSE))</f>
        <v>3</v>
      </c>
      <c r="F7" s="6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75"/>
      <c r="T7" s="15">
        <v>2</v>
      </c>
      <c r="U7" s="1">
        <v>130000</v>
      </c>
      <c r="V7" s="6">
        <f t="shared" ref="V7:V20" si="3">U7*10%</f>
        <v>13000</v>
      </c>
      <c r="W7" s="5">
        <f ca="1">5700+(1500*AA7)</f>
        <v>10200</v>
      </c>
      <c r="X7">
        <f t="shared" ref="X7:X20" ca="1" si="4">U7-V7-W7</f>
        <v>106800</v>
      </c>
      <c r="Y7" s="1">
        <f ca="1">Z7*8.8%</f>
        <v>8638.2352941176468</v>
      </c>
      <c r="Z7" s="1">
        <f t="shared" ref="Z7:Z20" ca="1" si="5">U7-V7-W7-Y7</f>
        <v>98161.76470588235</v>
      </c>
      <c r="AA7" s="2">
        <f t="shared" ca="1" si="0"/>
        <v>3</v>
      </c>
      <c r="AB7">
        <f t="shared" ca="1" si="1"/>
        <v>0</v>
      </c>
      <c r="AC7" s="5">
        <f t="shared" ref="AC7:AC8" ca="1" si="6">$AB$29*AD7</f>
        <v>836.50895140664954</v>
      </c>
      <c r="AD7" s="23">
        <f t="shared" ref="AD7:AD20" ca="1" si="7">Z7/$AC$29</f>
        <v>85.358056265984658</v>
      </c>
      <c r="AE7" s="23">
        <f t="shared" ref="AE7:AE20" ca="1" si="8">ROUND(AD7,1)</f>
        <v>85.4</v>
      </c>
      <c r="AF7" s="22" t="str">
        <f t="shared" ca="1" si="2"/>
        <v>T5</v>
      </c>
      <c r="AG7" s="1">
        <v>180</v>
      </c>
      <c r="AH7" s="1">
        <f ca="1">(AC7+(90*AA7))*(12-$U$47)*6%*1.2</f>
        <v>876.35508951406632</v>
      </c>
      <c r="AI7" s="5">
        <f t="shared" ref="AI7:AI20" ca="1" si="9">12*AD7</f>
        <v>1024.2966751918159</v>
      </c>
      <c r="AJ7" s="6">
        <f t="shared" ref="AJ7:AJ20" ca="1" si="10">SUM(AG7:AI7)</f>
        <v>2080.6517647058822</v>
      </c>
      <c r="AK7" s="1">
        <f t="shared" ref="AK7" ca="1" si="11">(AD7*10)+500</f>
        <v>1353.5805626598467</v>
      </c>
      <c r="AL7" s="1">
        <f t="shared" ref="AL7:AL20" ca="1" si="12">((U7-W7)*0.9*3.33%)+W7*10%</f>
        <v>4610.4060000000009</v>
      </c>
      <c r="AM7" s="1">
        <f t="shared" ref="AM7:AM20" si="13">-$AT$29</f>
        <v>289.33333333333337</v>
      </c>
      <c r="AN7" s="6">
        <f t="shared" ref="AN7:AN20" ca="1" si="14">(AC7*11)-AJ7-AK7-AM7-AL7</f>
        <v>867.6268047740823</v>
      </c>
    </row>
    <row r="8" spans="1:40" ht="15.95" customHeight="1">
      <c r="A8" s="28"/>
      <c r="B8" s="204" t="s">
        <v>18</v>
      </c>
      <c r="C8" s="205"/>
      <c r="D8" s="205"/>
      <c r="E8" s="162">
        <f ca="1">VLOOKUP($U$21,$T$6:$AG$20,11,FALSE)</f>
        <v>108.12994989494101</v>
      </c>
      <c r="F8" s="68"/>
      <c r="G8" s="174">
        <f ca="1">E11/U22</f>
        <v>8.6632901575504045E-2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175"/>
      <c r="T8" s="15">
        <v>3</v>
      </c>
      <c r="U8" s="1">
        <v>140000</v>
      </c>
      <c r="V8" s="6">
        <f t="shared" si="3"/>
        <v>14000</v>
      </c>
      <c r="W8" s="5">
        <f t="shared" ref="W8:W20" ca="1" si="15">5700+(1500*AA8)</f>
        <v>10200</v>
      </c>
      <c r="X8">
        <f t="shared" ca="1" si="4"/>
        <v>115800</v>
      </c>
      <c r="Y8" s="1">
        <f ca="1">Z8*8.4%</f>
        <v>8973.4317343173443</v>
      </c>
      <c r="Z8" s="1">
        <f t="shared" ca="1" si="5"/>
        <v>106826.56826568265</v>
      </c>
      <c r="AA8" s="2">
        <f t="shared" ca="1" si="0"/>
        <v>3</v>
      </c>
      <c r="AB8">
        <f t="shared" ca="1" si="1"/>
        <v>0</v>
      </c>
      <c r="AC8" s="5">
        <f t="shared" ca="1" si="6"/>
        <v>910.34814695973046</v>
      </c>
      <c r="AD8" s="23">
        <f t="shared" ca="1" si="7"/>
        <v>92.892668057115358</v>
      </c>
      <c r="AE8" s="23">
        <f t="shared" ca="1" si="8"/>
        <v>92.9</v>
      </c>
      <c r="AF8" s="22" t="str">
        <f t="shared" ca="1" si="2"/>
        <v>T5</v>
      </c>
      <c r="AG8" s="1">
        <v>180</v>
      </c>
      <c r="AH8" s="1">
        <f t="shared" ref="AH8:AH20" ca="1" si="16">(AC8+(90*AA8))*(12-$U$47)*6%*1.2</f>
        <v>934.83573239210637</v>
      </c>
      <c r="AI8" s="5">
        <f t="shared" ca="1" si="9"/>
        <v>1114.7120166853842</v>
      </c>
      <c r="AJ8" s="6">
        <f t="shared" ca="1" si="10"/>
        <v>2229.5477490774906</v>
      </c>
      <c r="AK8" s="1">
        <f ca="1">(AD8*10)+800</f>
        <v>1728.9266805711536</v>
      </c>
      <c r="AL8" s="1">
        <f t="shared" ca="1" si="12"/>
        <v>4910.1059999999998</v>
      </c>
      <c r="AM8" s="1">
        <f t="shared" si="13"/>
        <v>289.33333333333337</v>
      </c>
      <c r="AN8" s="6">
        <f t="shared" ca="1" si="14"/>
        <v>855.91585357505846</v>
      </c>
    </row>
    <row r="9" spans="1:40" ht="15.95" customHeight="1">
      <c r="A9" s="28"/>
      <c r="B9" s="201" t="s">
        <v>69</v>
      </c>
      <c r="C9" s="202"/>
      <c r="D9" s="202"/>
      <c r="E9" s="203"/>
      <c r="F9" s="69"/>
      <c r="G9" s="174"/>
      <c r="H9" s="31"/>
      <c r="I9" s="31"/>
      <c r="J9" s="31"/>
      <c r="K9" s="31"/>
      <c r="L9" s="31"/>
      <c r="M9" s="31"/>
      <c r="N9" s="31"/>
      <c r="O9" s="31"/>
      <c r="P9" s="31"/>
      <c r="Q9" s="31"/>
      <c r="R9" s="175"/>
      <c r="T9" s="15">
        <v>4</v>
      </c>
      <c r="U9" s="1">
        <v>150000</v>
      </c>
      <c r="V9" s="6">
        <f t="shared" si="3"/>
        <v>15000</v>
      </c>
      <c r="W9" s="5">
        <f t="shared" ca="1" si="15"/>
        <v>10200</v>
      </c>
      <c r="X9">
        <f t="shared" ca="1" si="4"/>
        <v>124800</v>
      </c>
      <c r="Y9" s="1">
        <f ca="1">Z9*8%</f>
        <v>9244.4444444444453</v>
      </c>
      <c r="Z9" s="1">
        <f t="shared" ca="1" si="5"/>
        <v>115555.55555555556</v>
      </c>
      <c r="AA9" s="2">
        <f t="shared" ca="1" si="0"/>
        <v>3</v>
      </c>
      <c r="AB9">
        <f t="shared" ca="1" si="1"/>
        <v>0</v>
      </c>
      <c r="AC9" s="5">
        <f ca="1">$AB$29*AD9</f>
        <v>984.73429951690821</v>
      </c>
      <c r="AD9" s="23">
        <f t="shared" ca="1" si="7"/>
        <v>100.48309178743962</v>
      </c>
      <c r="AE9" s="23">
        <f t="shared" ca="1" si="8"/>
        <v>100.5</v>
      </c>
      <c r="AF9" s="22" t="str">
        <f t="shared" ca="1" si="2"/>
        <v>T5</v>
      </c>
      <c r="AG9" s="1">
        <v>200</v>
      </c>
      <c r="AH9" s="1">
        <f t="shared" ca="1" si="16"/>
        <v>993.74956521739114</v>
      </c>
      <c r="AI9" s="5">
        <f t="shared" ca="1" si="9"/>
        <v>1205.7971014492755</v>
      </c>
      <c r="AJ9" s="6">
        <f t="shared" ca="1" si="10"/>
        <v>2399.5466666666666</v>
      </c>
      <c r="AK9" s="1">
        <f t="shared" ref="AK9:AK20" ca="1" si="17">(AD9*10)+800</f>
        <v>1804.8309178743962</v>
      </c>
      <c r="AL9" s="1">
        <f t="shared" ca="1" si="12"/>
        <v>5209.8060000000005</v>
      </c>
      <c r="AM9" s="1">
        <f t="shared" si="13"/>
        <v>289.33333333333337</v>
      </c>
      <c r="AN9" s="6">
        <f t="shared" ca="1" si="14"/>
        <v>1128.5603768115934</v>
      </c>
    </row>
    <row r="10" spans="1:40" ht="15.95" customHeight="1">
      <c r="A10" s="28"/>
      <c r="B10" s="48" t="s">
        <v>71</v>
      </c>
      <c r="C10" s="49"/>
      <c r="D10" s="49"/>
      <c r="E10" s="57"/>
      <c r="F10" s="70"/>
      <c r="G10" s="174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75"/>
      <c r="T10" s="15">
        <v>5</v>
      </c>
      <c r="U10" s="1">
        <v>160000</v>
      </c>
      <c r="V10" s="6">
        <f t="shared" si="3"/>
        <v>16000</v>
      </c>
      <c r="W10" s="5">
        <f t="shared" ca="1" si="15"/>
        <v>10200</v>
      </c>
      <c r="X10">
        <f t="shared" ca="1" si="4"/>
        <v>133800</v>
      </c>
      <c r="Y10" s="1">
        <f ca="1">Z10*7.6%</f>
        <v>9450.5576208178445</v>
      </c>
      <c r="Z10" s="1">
        <f t="shared" ca="1" si="5"/>
        <v>124349.44237918216</v>
      </c>
      <c r="AA10" s="2">
        <f t="shared" ca="1" si="0"/>
        <v>3</v>
      </c>
      <c r="AB10">
        <f t="shared" ca="1" si="1"/>
        <v>0</v>
      </c>
      <c r="AC10" s="5">
        <f ca="1">$AB$29*AD10</f>
        <v>1059.6735089704218</v>
      </c>
      <c r="AD10" s="23">
        <f t="shared" ca="1" si="7"/>
        <v>108.12994989494101</v>
      </c>
      <c r="AE10" s="23">
        <f t="shared" ca="1" si="8"/>
        <v>108.1</v>
      </c>
      <c r="AF10" s="22" t="str">
        <f t="shared" ca="1" si="2"/>
        <v>T5</v>
      </c>
      <c r="AG10" s="1">
        <v>200</v>
      </c>
      <c r="AH10" s="1">
        <f t="shared" ca="1" si="16"/>
        <v>1053.101419104574</v>
      </c>
      <c r="AI10" s="5">
        <f t="shared" ca="1" si="9"/>
        <v>1297.5593987392922</v>
      </c>
      <c r="AJ10" s="6">
        <f t="shared" ca="1" si="10"/>
        <v>2550.6608178438664</v>
      </c>
      <c r="AK10" s="1">
        <f t="shared" ca="1" si="17"/>
        <v>1881.29949894941</v>
      </c>
      <c r="AL10" s="1">
        <f t="shared" ca="1" si="12"/>
        <v>5509.5060000000003</v>
      </c>
      <c r="AM10" s="1">
        <f t="shared" si="13"/>
        <v>289.33333333333337</v>
      </c>
      <c r="AN10" s="6">
        <f t="shared" ca="1" si="14"/>
        <v>1425.6089485480306</v>
      </c>
    </row>
    <row r="11" spans="1:40" ht="15.95" customHeight="1">
      <c r="A11" s="28"/>
      <c r="B11" s="199" t="s">
        <v>21</v>
      </c>
      <c r="C11" s="200"/>
      <c r="D11" s="200"/>
      <c r="E11" s="97">
        <f ca="1">IF(E7="Concept impossible",0,E12*(12-$U$47))</f>
        <v>11656.40859867464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175"/>
      <c r="T11" s="15">
        <v>6</v>
      </c>
      <c r="U11" s="1">
        <v>170000</v>
      </c>
      <c r="V11" s="6">
        <f t="shared" si="3"/>
        <v>17000</v>
      </c>
      <c r="W11" s="5">
        <f t="shared" ca="1" si="15"/>
        <v>11700</v>
      </c>
      <c r="X11">
        <f t="shared" ca="1" si="4"/>
        <v>141300</v>
      </c>
      <c r="Y11" s="1">
        <f ca="1">Z11*7.3%</f>
        <v>9613.1407269338288</v>
      </c>
      <c r="Z11" s="1">
        <f t="shared" ca="1" si="5"/>
        <v>131686.85927306616</v>
      </c>
      <c r="AA11" s="2">
        <f t="shared" ca="1" si="0"/>
        <v>4</v>
      </c>
      <c r="AB11">
        <f t="shared" ca="1" si="1"/>
        <v>0</v>
      </c>
      <c r="AC11" s="5">
        <f t="shared" ref="AC11:AC20" ca="1" si="18">$AB$29*AD11</f>
        <v>1122.2010616313464</v>
      </c>
      <c r="AD11" s="23">
        <f t="shared" ca="1" si="7"/>
        <v>114.51031241136188</v>
      </c>
      <c r="AE11" s="23">
        <f t="shared" ca="1" si="8"/>
        <v>114.5</v>
      </c>
      <c r="AF11" s="22" t="str">
        <f t="shared" ca="1" si="2"/>
        <v>T5</v>
      </c>
      <c r="AG11" s="1">
        <v>200</v>
      </c>
      <c r="AH11" s="1">
        <f t="shared" ca="1" si="16"/>
        <v>1173.9032408120263</v>
      </c>
      <c r="AI11" s="5">
        <f t="shared" ca="1" si="9"/>
        <v>1374.1237489363425</v>
      </c>
      <c r="AJ11" s="6">
        <f t="shared" ca="1" si="10"/>
        <v>2748.0269897483686</v>
      </c>
      <c r="AK11" s="1">
        <f t="shared" ca="1" si="17"/>
        <v>1945.1031241136188</v>
      </c>
      <c r="AL11" s="1">
        <f t="shared" ca="1" si="12"/>
        <v>5914.2510000000002</v>
      </c>
      <c r="AM11" s="1">
        <f t="shared" si="13"/>
        <v>289.33333333333337</v>
      </c>
      <c r="AN11" s="6">
        <f t="shared" ca="1" si="14"/>
        <v>1447.4972307494909</v>
      </c>
    </row>
    <row r="12" spans="1:40" ht="15.95" customHeight="1">
      <c r="A12" s="28"/>
      <c r="B12" s="209" t="s">
        <v>47</v>
      </c>
      <c r="C12" s="210"/>
      <c r="D12" s="210"/>
      <c r="E12" s="98">
        <f ca="1">IF(E7="Concept impossible",0,VLOOKUP($U$21,$T$6:$AG$20,10,FALSE))</f>
        <v>1059.6735089704218</v>
      </c>
      <c r="F12" s="28"/>
      <c r="G12" s="211">
        <f ca="1">E15/U22</f>
        <v>5.3693632274756646E-2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75"/>
      <c r="T12" s="15">
        <v>7</v>
      </c>
      <c r="U12" s="1">
        <v>180000</v>
      </c>
      <c r="V12" s="6">
        <f t="shared" si="3"/>
        <v>18000</v>
      </c>
      <c r="W12" s="5">
        <f t="shared" ca="1" si="15"/>
        <v>11700</v>
      </c>
      <c r="X12">
        <f t="shared" ca="1" si="4"/>
        <v>150300</v>
      </c>
      <c r="Y12" s="1">
        <f ca="1">Z12*7.1%</f>
        <v>9963.8655462184852</v>
      </c>
      <c r="Z12" s="1">
        <f t="shared" ca="1" si="5"/>
        <v>140336.1344537815</v>
      </c>
      <c r="AA12" s="2">
        <f t="shared" ca="1" si="0"/>
        <v>4</v>
      </c>
      <c r="AB12">
        <f t="shared" ca="1" si="1"/>
        <v>0</v>
      </c>
      <c r="AC12" s="5">
        <f t="shared" ca="1" si="18"/>
        <v>1195.9079283887465</v>
      </c>
      <c r="AD12" s="23">
        <f t="shared" ca="1" si="7"/>
        <v>122.03142126415783</v>
      </c>
      <c r="AE12" s="23">
        <f t="shared" ca="1" si="8"/>
        <v>122</v>
      </c>
      <c r="AF12" s="22" t="str">
        <f ca="1">VLOOKUP(AD12,AG33:AI231,3,TRUE)</f>
        <v>T6</v>
      </c>
      <c r="AG12" s="1">
        <v>220</v>
      </c>
      <c r="AH12" s="1">
        <f t="shared" ca="1" si="16"/>
        <v>1232.2790792838871</v>
      </c>
      <c r="AI12" s="5">
        <f t="shared" ca="1" si="9"/>
        <v>1464.377055169894</v>
      </c>
      <c r="AJ12" s="6">
        <f t="shared" ca="1" si="10"/>
        <v>2916.6561344537813</v>
      </c>
      <c r="AK12" s="1">
        <f t="shared" ca="1" si="17"/>
        <v>2020.3142126415783</v>
      </c>
      <c r="AL12" s="1">
        <f t="shared" ca="1" si="12"/>
        <v>6213.9510000000009</v>
      </c>
      <c r="AM12" s="1">
        <f t="shared" si="13"/>
        <v>289.33333333333337</v>
      </c>
      <c r="AN12" s="6">
        <f t="shared" ca="1" si="14"/>
        <v>1714.7325318475168</v>
      </c>
    </row>
    <row r="13" spans="1:40" ht="15.95" customHeight="1">
      <c r="A13" s="28"/>
      <c r="B13" s="172" t="s">
        <v>70</v>
      </c>
      <c r="C13" s="173"/>
      <c r="D13" s="173"/>
      <c r="E13" s="96">
        <f ca="1">IF(E7="Concept impossible",0,VLOOKUP($U$21,$T$6:$AK$20,17,FALSE))</f>
        <v>2550.6608178438664</v>
      </c>
      <c r="F13" s="71"/>
      <c r="G13" s="21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75"/>
      <c r="T13" s="15">
        <v>8</v>
      </c>
      <c r="U13" s="1">
        <v>190000</v>
      </c>
      <c r="V13" s="6">
        <f t="shared" si="3"/>
        <v>19000</v>
      </c>
      <c r="W13" s="5">
        <f t="shared" ca="1" si="15"/>
        <v>11700</v>
      </c>
      <c r="X13">
        <f t="shared" ca="1" si="4"/>
        <v>159300</v>
      </c>
      <c r="Y13" s="1">
        <f ca="1">Z13*6.9%</f>
        <v>10282.2263797942</v>
      </c>
      <c r="Z13" s="1">
        <f t="shared" ca="1" si="5"/>
        <v>149017.77362020581</v>
      </c>
      <c r="AA13" s="2">
        <f t="shared" ca="1" si="0"/>
        <v>4</v>
      </c>
      <c r="AB13">
        <f t="shared" ca="1" si="1"/>
        <v>0</v>
      </c>
      <c r="AC13" s="5">
        <f t="shared" ca="1" si="18"/>
        <v>1269.8905925895795</v>
      </c>
      <c r="AD13" s="23">
        <f t="shared" ca="1" si="7"/>
        <v>129.58067271322244</v>
      </c>
      <c r="AE13" s="23">
        <f t="shared" ca="1" si="8"/>
        <v>129.6</v>
      </c>
      <c r="AF13" s="22" t="str">
        <f t="shared" ref="AF13:AF20" ca="1" si="19">VLOOKUP(AD13,AG33:AI232,3,TRUE)</f>
        <v>T6</v>
      </c>
      <c r="AG13" s="1">
        <v>220</v>
      </c>
      <c r="AH13" s="1">
        <f t="shared" ca="1" si="16"/>
        <v>1290.8733493309467</v>
      </c>
      <c r="AI13" s="5">
        <f t="shared" ca="1" si="9"/>
        <v>1554.9680725586693</v>
      </c>
      <c r="AJ13" s="6">
        <f t="shared" ca="1" si="10"/>
        <v>3065.841421889616</v>
      </c>
      <c r="AK13" s="1">
        <f t="shared" ca="1" si="17"/>
        <v>2095.8067271322243</v>
      </c>
      <c r="AL13" s="1">
        <f t="shared" ca="1" si="12"/>
        <v>6513.6510000000007</v>
      </c>
      <c r="AM13" s="1">
        <f t="shared" si="13"/>
        <v>289.33333333333337</v>
      </c>
      <c r="AN13" s="6">
        <f t="shared" ca="1" si="14"/>
        <v>2004.1640361302007</v>
      </c>
    </row>
    <row r="14" spans="1:40" ht="15.95" customHeight="1">
      <c r="A14" s="28"/>
      <c r="B14" s="206" t="s">
        <v>76</v>
      </c>
      <c r="C14" s="207"/>
      <c r="D14" s="207"/>
      <c r="E14" s="51">
        <f ca="1">IF(E7="Concept impossible",0,VLOOKUP($U$21,$T$6:$AK$20,18,FALSE))</f>
        <v>1881.29949894941</v>
      </c>
      <c r="F14" s="71"/>
      <c r="G14" s="21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75"/>
      <c r="T14" s="15">
        <v>9</v>
      </c>
      <c r="U14" s="1">
        <v>200000</v>
      </c>
      <c r="V14" s="6">
        <f t="shared" si="3"/>
        <v>20000</v>
      </c>
      <c r="W14" s="5">
        <f t="shared" ca="1" si="15"/>
        <v>13200</v>
      </c>
      <c r="X14">
        <f t="shared" ca="1" si="4"/>
        <v>166800</v>
      </c>
      <c r="Y14" s="1">
        <f ca="1">Z14*6.7%</f>
        <v>10473.851921274601</v>
      </c>
      <c r="Z14" s="1">
        <f t="shared" ca="1" si="5"/>
        <v>156326.14807872541</v>
      </c>
      <c r="AA14" s="2">
        <f t="shared" ca="1" si="0"/>
        <v>5</v>
      </c>
      <c r="AB14">
        <f t="shared" ca="1" si="1"/>
        <v>0</v>
      </c>
      <c r="AC14" s="5">
        <f t="shared" ca="1" si="18"/>
        <v>1332.1706531926161</v>
      </c>
      <c r="AD14" s="23">
        <f t="shared" ca="1" si="7"/>
        <v>135.93578093802211</v>
      </c>
      <c r="AE14" s="23">
        <f t="shared" ca="1" si="8"/>
        <v>135.9</v>
      </c>
      <c r="AF14" s="22" t="str">
        <f t="shared" ca="1" si="19"/>
        <v>T6</v>
      </c>
      <c r="AG14" s="1">
        <v>220</v>
      </c>
      <c r="AH14" s="1">
        <f t="shared" ca="1" si="16"/>
        <v>1411.4791573285518</v>
      </c>
      <c r="AI14" s="5">
        <f t="shared" ca="1" si="9"/>
        <v>1631.2293712562653</v>
      </c>
      <c r="AJ14" s="6">
        <f t="shared" ca="1" si="10"/>
        <v>3262.708528584817</v>
      </c>
      <c r="AK14" s="1">
        <f t="shared" ca="1" si="17"/>
        <v>2159.3578093802212</v>
      </c>
      <c r="AL14" s="1">
        <f t="shared" ca="1" si="12"/>
        <v>6918.3960000000006</v>
      </c>
      <c r="AM14" s="1">
        <f t="shared" si="13"/>
        <v>289.33333333333337</v>
      </c>
      <c r="AN14" s="6">
        <f t="shared" ca="1" si="14"/>
        <v>2024.0815138204052</v>
      </c>
    </row>
    <row r="15" spans="1:40" ht="15.95" customHeight="1" thickBot="1">
      <c r="A15" s="28"/>
      <c r="B15" s="176" t="s">
        <v>22</v>
      </c>
      <c r="C15" s="177"/>
      <c r="D15" s="177"/>
      <c r="E15" s="99">
        <f ca="1">E11-E13-E14</f>
        <v>7224.448281881364</v>
      </c>
      <c r="F15" s="72"/>
      <c r="G15" s="73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175"/>
      <c r="T15" s="15">
        <v>10</v>
      </c>
      <c r="U15" s="1">
        <v>210000</v>
      </c>
      <c r="V15" s="6">
        <f t="shared" si="3"/>
        <v>21000</v>
      </c>
      <c r="W15" s="5">
        <f t="shared" ca="1" si="15"/>
        <v>13200</v>
      </c>
      <c r="X15">
        <f t="shared" ca="1" si="4"/>
        <v>175800</v>
      </c>
      <c r="Y15" s="1">
        <f ca="1">Z15*6.5%</f>
        <v>10729.577464788732</v>
      </c>
      <c r="Z15" s="1">
        <f t="shared" ca="1" si="5"/>
        <v>165070.42253521126</v>
      </c>
      <c r="AA15" s="2">
        <f t="shared" ca="1" si="0"/>
        <v>5</v>
      </c>
      <c r="AB15">
        <f t="shared" ca="1" si="1"/>
        <v>0</v>
      </c>
      <c r="AC15" s="5">
        <f ca="1">$AB$29*AD15</f>
        <v>1406.6870789957134</v>
      </c>
      <c r="AD15" s="23">
        <f t="shared" ca="1" si="7"/>
        <v>143.53949785670545</v>
      </c>
      <c r="AE15" s="23">
        <f t="shared" ca="1" si="8"/>
        <v>143.5</v>
      </c>
      <c r="AF15" s="22" t="str">
        <f t="shared" ca="1" si="19"/>
        <v>T6</v>
      </c>
      <c r="AG15" s="1">
        <v>250</v>
      </c>
      <c r="AH15" s="1">
        <f t="shared" ca="1" si="16"/>
        <v>1470.4961665646049</v>
      </c>
      <c r="AI15" s="5">
        <f t="shared" ca="1" si="9"/>
        <v>1722.4739742804654</v>
      </c>
      <c r="AJ15" s="6">
        <f ca="1">SUM(AG15:AI15)</f>
        <v>3442.9701408450701</v>
      </c>
      <c r="AK15" s="1">
        <f t="shared" ca="1" si="17"/>
        <v>2235.3949785670547</v>
      </c>
      <c r="AL15" s="1">
        <f t="shared" ca="1" si="12"/>
        <v>7218.0960000000005</v>
      </c>
      <c r="AM15" s="1">
        <f t="shared" si="13"/>
        <v>289.33333333333337</v>
      </c>
      <c r="AN15" s="6">
        <f t="shared" ca="1" si="14"/>
        <v>2287.7634162073873</v>
      </c>
    </row>
    <row r="16" spans="1:40" ht="10.5" customHeight="1" thickTop="1">
      <c r="A16" s="28"/>
      <c r="B16" s="29"/>
      <c r="C16" s="29"/>
      <c r="D16" s="29"/>
      <c r="E16" s="74"/>
      <c r="F16" s="74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T16" s="15">
        <v>11</v>
      </c>
      <c r="U16" s="1">
        <v>220000</v>
      </c>
      <c r="V16" s="6">
        <f t="shared" si="3"/>
        <v>22000</v>
      </c>
      <c r="W16" s="5">
        <f t="shared" ca="1" si="15"/>
        <v>13200</v>
      </c>
      <c r="X16">
        <f t="shared" ca="1" si="4"/>
        <v>184800</v>
      </c>
      <c r="Y16" s="1">
        <f ca="1">Z16*6.3%</f>
        <v>10863.850976227937</v>
      </c>
      <c r="Z16" s="1">
        <f t="shared" ca="1" si="5"/>
        <v>173936.14902377207</v>
      </c>
      <c r="AA16" s="2">
        <f t="shared" ca="1" si="0"/>
        <v>5</v>
      </c>
      <c r="AB16">
        <f t="shared" ca="1" si="1"/>
        <v>0</v>
      </c>
      <c r="AC16" s="5">
        <f t="shared" ca="1" si="18"/>
        <v>1469.5064122433926</v>
      </c>
      <c r="AD16" s="23">
        <f t="shared" ca="1" si="7"/>
        <v>151.24882523806266</v>
      </c>
      <c r="AE16" s="23">
        <f t="shared" ca="1" si="8"/>
        <v>151.19999999999999</v>
      </c>
      <c r="AF16" s="22" t="str">
        <f t="shared" ca="1" si="19"/>
        <v>T7</v>
      </c>
      <c r="AG16" s="1">
        <v>250</v>
      </c>
      <c r="AH16" s="1">
        <f t="shared" ca="1" si="16"/>
        <v>1520.249078496767</v>
      </c>
      <c r="AI16" s="5">
        <f t="shared" ca="1" si="9"/>
        <v>1814.9859028567521</v>
      </c>
      <c r="AJ16" s="6">
        <f t="shared" ca="1" si="10"/>
        <v>3585.2349813535193</v>
      </c>
      <c r="AK16" s="1">
        <f t="shared" ca="1" si="17"/>
        <v>2312.4882523806264</v>
      </c>
      <c r="AL16" s="1">
        <f t="shared" ca="1" si="12"/>
        <v>7517.7960000000003</v>
      </c>
      <c r="AM16" s="1">
        <f t="shared" si="13"/>
        <v>289.33333333333337</v>
      </c>
      <c r="AN16" s="6">
        <f t="shared" ca="1" si="14"/>
        <v>2459.7179676098385</v>
      </c>
    </row>
    <row r="17" spans="1:49" ht="12" customHeight="1">
      <c r="A17" s="28"/>
      <c r="B17" s="75" t="s">
        <v>74</v>
      </c>
      <c r="C17" s="29"/>
      <c r="D17" s="29"/>
      <c r="E17" s="29"/>
      <c r="F17" s="28"/>
      <c r="G17" s="28"/>
      <c r="H17" s="193"/>
      <c r="I17" s="194"/>
      <c r="J17" s="194"/>
      <c r="K17" s="194"/>
      <c r="L17" s="194"/>
      <c r="M17" s="194"/>
      <c r="N17" s="194"/>
      <c r="O17" s="28"/>
      <c r="P17" s="28"/>
      <c r="Q17" s="28"/>
      <c r="R17" s="28"/>
      <c r="T17" s="15">
        <v>12</v>
      </c>
      <c r="U17" s="1">
        <v>230000</v>
      </c>
      <c r="V17" s="6">
        <f t="shared" si="3"/>
        <v>23000</v>
      </c>
      <c r="W17" s="5">
        <f t="shared" ca="1" si="15"/>
        <v>14700</v>
      </c>
      <c r="X17">
        <f t="shared" ca="1" si="4"/>
        <v>192300</v>
      </c>
      <c r="Y17" s="1">
        <f ca="1">Z17*6.1%</f>
        <v>11055.890669180018</v>
      </c>
      <c r="Z17" s="1">
        <f t="shared" ca="1" si="5"/>
        <v>181244.10933081998</v>
      </c>
      <c r="AA17" s="2">
        <f t="shared" ca="1" si="0"/>
        <v>6</v>
      </c>
      <c r="AB17">
        <f t="shared" ca="1" si="1"/>
        <v>0</v>
      </c>
      <c r="AC17" s="5">
        <f t="shared" ca="1" si="18"/>
        <v>1544.5150186452483</v>
      </c>
      <c r="AD17" s="23">
        <f t="shared" ca="1" si="7"/>
        <v>157.6035733311478</v>
      </c>
      <c r="AE17" s="23">
        <f t="shared" ca="1" si="8"/>
        <v>157.6</v>
      </c>
      <c r="AF17" s="22" t="str">
        <f t="shared" ca="1" si="19"/>
        <v>T7</v>
      </c>
      <c r="AG17" s="1">
        <v>250</v>
      </c>
      <c r="AH17" s="1">
        <f t="shared" ca="1" si="16"/>
        <v>1650.9358947670366</v>
      </c>
      <c r="AI17" s="5">
        <f t="shared" ca="1" si="9"/>
        <v>1891.2428799737736</v>
      </c>
      <c r="AJ17" s="6">
        <f t="shared" ca="1" si="10"/>
        <v>3792.1787747408102</v>
      </c>
      <c r="AK17" s="1">
        <f t="shared" ca="1" si="17"/>
        <v>2376.035733311478</v>
      </c>
      <c r="AL17" s="1">
        <f t="shared" ca="1" si="12"/>
        <v>7922.5410000000002</v>
      </c>
      <c r="AM17" s="1">
        <f t="shared" si="13"/>
        <v>289.33333333333337</v>
      </c>
      <c r="AN17" s="6">
        <f t="shared" ca="1" si="14"/>
        <v>2609.5763637121081</v>
      </c>
    </row>
    <row r="18" spans="1:49" ht="6" customHeight="1" thickBot="1">
      <c r="A18" s="28"/>
      <c r="B18" s="29"/>
      <c r="C18" s="29"/>
      <c r="D18" s="29"/>
      <c r="E18" s="74"/>
      <c r="F18" s="74"/>
      <c r="G18" s="28"/>
      <c r="H18" s="194"/>
      <c r="I18" s="194"/>
      <c r="J18" s="194"/>
      <c r="K18" s="194"/>
      <c r="L18" s="194"/>
      <c r="M18" s="194"/>
      <c r="N18" s="194"/>
      <c r="O18" s="28"/>
      <c r="P18" s="28"/>
      <c r="Q18" s="28"/>
      <c r="R18" s="28"/>
      <c r="T18" s="15">
        <v>13</v>
      </c>
      <c r="U18" s="1">
        <v>240000</v>
      </c>
      <c r="V18" s="6">
        <f t="shared" si="3"/>
        <v>24000</v>
      </c>
      <c r="W18" s="5">
        <f t="shared" ca="1" si="15"/>
        <v>14700</v>
      </c>
      <c r="X18">
        <f t="shared" ca="1" si="4"/>
        <v>201300</v>
      </c>
      <c r="Y18" s="1">
        <f ca="1">Z18*5.9%</f>
        <v>11215.014164305949</v>
      </c>
      <c r="Z18" s="1">
        <f t="shared" ca="1" si="5"/>
        <v>190084.98583569404</v>
      </c>
      <c r="AA18" s="2">
        <f t="shared" ca="1" si="0"/>
        <v>6</v>
      </c>
      <c r="AB18">
        <f t="shared" ca="1" si="1"/>
        <v>0</v>
      </c>
      <c r="AC18" s="5">
        <f t="shared" ca="1" si="18"/>
        <v>1619.8546619041751</v>
      </c>
      <c r="AD18" s="23">
        <f t="shared" ca="1" si="7"/>
        <v>165.2912920310383</v>
      </c>
      <c r="AE18" s="23">
        <f t="shared" ca="1" si="8"/>
        <v>165.3</v>
      </c>
      <c r="AF18" s="22" t="str">
        <f t="shared" ca="1" si="19"/>
        <v>T7</v>
      </c>
      <c r="AG18" s="1">
        <v>280</v>
      </c>
      <c r="AH18" s="1">
        <f t="shared" ca="1" si="16"/>
        <v>1710.6048922281068</v>
      </c>
      <c r="AI18" s="5">
        <f t="shared" ca="1" si="9"/>
        <v>1983.4955043724594</v>
      </c>
      <c r="AJ18" s="6">
        <f t="shared" ca="1" si="10"/>
        <v>3974.1003966005665</v>
      </c>
      <c r="AK18" s="1">
        <f t="shared" ca="1" si="17"/>
        <v>2452.912920310383</v>
      </c>
      <c r="AL18" s="1">
        <f t="shared" ca="1" si="12"/>
        <v>8222.2410000000018</v>
      </c>
      <c r="AM18" s="1">
        <f t="shared" si="13"/>
        <v>289.33333333333337</v>
      </c>
      <c r="AN18" s="6">
        <f t="shared" ca="1" si="14"/>
        <v>2879.8136307016412</v>
      </c>
    </row>
    <row r="19" spans="1:49" ht="15" customHeight="1" thickTop="1" thickBot="1">
      <c r="A19" s="28"/>
      <c r="B19" s="165" t="s">
        <v>49</v>
      </c>
      <c r="C19" s="166"/>
      <c r="D19" s="166"/>
      <c r="E19" s="167"/>
      <c r="F19" s="76"/>
      <c r="G19" s="28"/>
      <c r="H19" s="194"/>
      <c r="I19" s="194"/>
      <c r="J19" s="194"/>
      <c r="K19" s="194"/>
      <c r="L19" s="194"/>
      <c r="M19" s="194"/>
      <c r="N19" s="194"/>
      <c r="O19" s="28"/>
      <c r="P19" s="28"/>
      <c r="Q19" s="28"/>
      <c r="R19" s="28"/>
      <c r="T19" s="15">
        <v>14</v>
      </c>
      <c r="U19" s="1">
        <v>250000</v>
      </c>
      <c r="V19" s="6">
        <f t="shared" si="3"/>
        <v>25000</v>
      </c>
      <c r="W19" s="5">
        <f t="shared" ca="1" si="15"/>
        <v>14700</v>
      </c>
      <c r="X19">
        <f t="shared" ca="1" si="4"/>
        <v>210300</v>
      </c>
      <c r="Y19" s="1">
        <f ca="1">Z19*5.7%</f>
        <v>11340.681173131505</v>
      </c>
      <c r="Z19" s="1">
        <f t="shared" ca="1" si="5"/>
        <v>198959.31882686849</v>
      </c>
      <c r="AA19" s="2">
        <f t="shared" ca="1" si="0"/>
        <v>6</v>
      </c>
      <c r="AB19">
        <f t="shared" ca="1" si="1"/>
        <v>0</v>
      </c>
      <c r="AC19" s="5">
        <f t="shared" ca="1" si="18"/>
        <v>1695.4794126115746</v>
      </c>
      <c r="AD19" s="23">
        <f t="shared" ca="1" si="7"/>
        <v>173.00810332771172</v>
      </c>
      <c r="AE19" s="23">
        <f t="shared" ca="1" si="8"/>
        <v>173</v>
      </c>
      <c r="AF19" s="22" t="str">
        <f t="shared" ca="1" si="19"/>
        <v>T7</v>
      </c>
      <c r="AG19" s="1">
        <v>280</v>
      </c>
      <c r="AH19" s="1">
        <f t="shared" ca="1" si="16"/>
        <v>1770.4996947883672</v>
      </c>
      <c r="AI19" s="5">
        <f t="shared" ca="1" si="9"/>
        <v>2076.0972399325406</v>
      </c>
      <c r="AJ19" s="6">
        <f t="shared" ca="1" si="10"/>
        <v>4126.5969347209084</v>
      </c>
      <c r="AK19" s="1">
        <f t="shared" ca="1" si="17"/>
        <v>2530.0810332771171</v>
      </c>
      <c r="AL19" s="1">
        <f t="shared" ca="1" si="12"/>
        <v>8521.9410000000007</v>
      </c>
      <c r="AM19" s="1">
        <f t="shared" si="13"/>
        <v>289.33333333333337</v>
      </c>
      <c r="AN19" s="6">
        <f t="shared" ca="1" si="14"/>
        <v>3182.3212373959614</v>
      </c>
    </row>
    <row r="20" spans="1:49" ht="15.95" customHeight="1" thickTop="1" thickBot="1">
      <c r="A20" s="28"/>
      <c r="B20" s="185" t="s">
        <v>23</v>
      </c>
      <c r="C20" s="186"/>
      <c r="D20" s="186"/>
      <c r="E20" s="55">
        <f>AO54</f>
        <v>20000</v>
      </c>
      <c r="F20" s="195" t="str">
        <f>IF(AO53&gt;V21,CONCATENATE("Maxi ",DOLLAR(V21,0)," !!!"),"")</f>
        <v/>
      </c>
      <c r="G20" s="196"/>
      <c r="H20" s="194"/>
      <c r="I20" s="194"/>
      <c r="J20" s="194"/>
      <c r="K20" s="194"/>
      <c r="L20" s="194"/>
      <c r="M20" s="194"/>
      <c r="N20" s="194"/>
      <c r="O20" s="28"/>
      <c r="P20" s="28"/>
      <c r="Q20" s="28"/>
      <c r="R20" s="28"/>
      <c r="T20" s="15">
        <v>15</v>
      </c>
      <c r="U20" s="1">
        <v>260000</v>
      </c>
      <c r="V20" s="6">
        <f t="shared" si="3"/>
        <v>26000</v>
      </c>
      <c r="W20" s="5">
        <f t="shared" ca="1" si="15"/>
        <v>14700</v>
      </c>
      <c r="X20">
        <f t="shared" ca="1" si="4"/>
        <v>219300</v>
      </c>
      <c r="Y20" s="1">
        <f ca="1">Z20*5.5%</f>
        <v>11432.701421800948</v>
      </c>
      <c r="Z20" s="1">
        <f t="shared" ca="1" si="5"/>
        <v>207867.29857819906</v>
      </c>
      <c r="AA20" s="2">
        <f t="shared" ca="1" si="0"/>
        <v>6</v>
      </c>
      <c r="AB20">
        <f t="shared" ca="1" si="1"/>
        <v>0</v>
      </c>
      <c r="AC20" s="5">
        <f t="shared" ca="1" si="18"/>
        <v>1771.3908922316091</v>
      </c>
      <c r="AD20" s="23">
        <f t="shared" ca="1" si="7"/>
        <v>180.75417267669482</v>
      </c>
      <c r="AE20" s="23">
        <f t="shared" ca="1" si="8"/>
        <v>180.8</v>
      </c>
      <c r="AF20" s="22" t="str">
        <f t="shared" ca="1" si="19"/>
        <v>T7</v>
      </c>
      <c r="AG20" s="1">
        <v>280</v>
      </c>
      <c r="AH20" s="1">
        <f t="shared" ca="1" si="16"/>
        <v>1830.6215866474342</v>
      </c>
      <c r="AI20" s="5">
        <f t="shared" ca="1" si="9"/>
        <v>2169.050072120338</v>
      </c>
      <c r="AJ20" s="6">
        <f t="shared" ca="1" si="10"/>
        <v>4279.671658767772</v>
      </c>
      <c r="AK20" s="1">
        <f t="shared" ca="1" si="17"/>
        <v>2607.5417267669482</v>
      </c>
      <c r="AL20" s="1">
        <f t="shared" ca="1" si="12"/>
        <v>8821.6409999999996</v>
      </c>
      <c r="AM20" s="1">
        <f t="shared" si="13"/>
        <v>289.33333333333337</v>
      </c>
      <c r="AN20" s="6">
        <f t="shared" ca="1" si="14"/>
        <v>3487.1120956796458</v>
      </c>
    </row>
    <row r="21" spans="1:49" ht="15.95" customHeight="1">
      <c r="A21" s="28"/>
      <c r="B21" s="58" t="s">
        <v>24</v>
      </c>
      <c r="C21" s="59"/>
      <c r="D21" s="26" t="s">
        <v>26</v>
      </c>
      <c r="E21" s="56">
        <f>V21-AO54</f>
        <v>140000</v>
      </c>
      <c r="F21" s="7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U21" s="53">
        <v>5</v>
      </c>
      <c r="V21">
        <f>VLOOKUP($U$21,$T$6:$AD$20,2,FALSE)</f>
        <v>160000</v>
      </c>
      <c r="W21">
        <f ca="1">VLOOKUP($U$21,$T$6:$AD$20,4,FALSE)</f>
        <v>10200</v>
      </c>
      <c r="X21">
        <f ca="1">VLOOKUP($U$21,$T$6:$AD$20,5,FALSE)</f>
        <v>133800</v>
      </c>
      <c r="AA21" s="2"/>
      <c r="AC21" s="5"/>
      <c r="AD21" s="103">
        <f ca="1">ROUND(VLOOKUP(U21,T6:AD20,11),0)</f>
        <v>108</v>
      </c>
      <c r="AH21" s="1">
        <f t="shared" ref="AH21" si="20">(AC21+(90*AA21))*(12-$U$47)*6%*1.196</f>
        <v>0</v>
      </c>
      <c r="AI21" s="5">
        <f ca="1">AD21*12*7*5%</f>
        <v>453.6</v>
      </c>
      <c r="AK21" s="1">
        <f t="shared" ref="AK21" ca="1" si="21">AD21*10</f>
        <v>1080</v>
      </c>
    </row>
    <row r="22" spans="1:49" ht="15.95" customHeight="1">
      <c r="A22" s="28"/>
      <c r="B22" s="179" t="s">
        <v>28</v>
      </c>
      <c r="C22" s="180"/>
      <c r="D22" s="180"/>
      <c r="E22" s="64">
        <f>VLOOKUP(U36,T24:V35,3,FALSE)</f>
        <v>2.18E-2</v>
      </c>
      <c r="F22" s="7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U22" s="14">
        <f ca="1">VLOOKUP(U21,T6:Z20,7,FALSE)+VLOOKUP(U21,T6:Z20,4,FALSE)</f>
        <v>134549.44237918215</v>
      </c>
      <c r="V22" t="s">
        <v>73</v>
      </c>
    </row>
    <row r="23" spans="1:49" ht="15.95" customHeight="1">
      <c r="A23" s="28"/>
      <c r="B23" s="27" t="s">
        <v>27</v>
      </c>
      <c r="C23" s="25"/>
      <c r="D23" s="25"/>
      <c r="E23" s="24">
        <f>PMT(E22/12,V36*12,E21)*-1</f>
        <v>967.70939875236786</v>
      </c>
      <c r="F23" s="7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49" ht="15.95" customHeight="1">
      <c r="A24" s="28"/>
      <c r="B24" s="179" t="s">
        <v>75</v>
      </c>
      <c r="C24" s="180"/>
      <c r="D24" s="180"/>
      <c r="E24" s="65">
        <f>W41</f>
        <v>35</v>
      </c>
      <c r="F24" s="8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T24" s="15">
        <v>1</v>
      </c>
      <c r="U24" s="11">
        <v>10</v>
      </c>
      <c r="V24" s="10">
        <v>0.02</v>
      </c>
      <c r="AD24" s="168"/>
      <c r="AE24" s="168"/>
      <c r="AF24" s="168"/>
      <c r="AG24" t="s">
        <v>43</v>
      </c>
      <c r="AL24" t="s">
        <v>57</v>
      </c>
      <c r="AO24" t="s">
        <v>67</v>
      </c>
    </row>
    <row r="25" spans="1:49" ht="15.95" customHeight="1" thickBot="1">
      <c r="A25" s="28"/>
      <c r="B25" s="115" t="s">
        <v>93</v>
      </c>
      <c r="C25" s="52"/>
      <c r="D25" s="52"/>
      <c r="E25" s="114">
        <f>E23+E24</f>
        <v>1002.7093987523679</v>
      </c>
      <c r="F25" s="8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T25" s="15">
        <v>2</v>
      </c>
      <c r="U25" s="11">
        <v>11</v>
      </c>
      <c r="V25" s="10">
        <v>2.1000000000000001E-2</v>
      </c>
      <c r="Z25" t="s">
        <v>7</v>
      </c>
      <c r="AA25" t="s">
        <v>40</v>
      </c>
      <c r="AC25" s="2" t="s">
        <v>42</v>
      </c>
      <c r="AG25" s="3" t="s">
        <v>8</v>
      </c>
      <c r="AH25" s="8"/>
    </row>
    <row r="26" spans="1:49" ht="8.25" customHeight="1" thickTop="1" thickBot="1">
      <c r="A26" s="28"/>
      <c r="B26" s="29"/>
      <c r="C26" s="29"/>
      <c r="D26" s="29"/>
      <c r="E26" s="29"/>
      <c r="F26" s="82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T26" s="15">
        <v>3</v>
      </c>
      <c r="U26" s="11">
        <v>12</v>
      </c>
      <c r="V26" s="10">
        <v>2.1499999999999998E-2</v>
      </c>
      <c r="X26">
        <v>1</v>
      </c>
      <c r="Y26" t="s">
        <v>39</v>
      </c>
      <c r="Z26">
        <v>7</v>
      </c>
      <c r="AA26">
        <v>1.4</v>
      </c>
      <c r="AB26">
        <f>Z26*AA26</f>
        <v>9.7999999999999989</v>
      </c>
      <c r="AC26" s="4">
        <v>1150</v>
      </c>
      <c r="AF26" s="18"/>
      <c r="AG26" s="21">
        <v>1</v>
      </c>
      <c r="AH26" s="20">
        <v>0</v>
      </c>
      <c r="AI26" s="20">
        <v>0</v>
      </c>
      <c r="AK26">
        <v>1</v>
      </c>
      <c r="AL26" s="2">
        <f ca="1">YEAR(TODAY())</f>
        <v>2015</v>
      </c>
      <c r="AM26" s="1">
        <f ca="1">X21</f>
        <v>133800</v>
      </c>
      <c r="AN26">
        <v>1</v>
      </c>
      <c r="AO26" s="101">
        <v>0</v>
      </c>
    </row>
    <row r="27" spans="1:49" ht="13.5" customHeight="1" thickTop="1" thickBot="1">
      <c r="A27" s="28"/>
      <c r="B27" s="165" t="str">
        <f>CONCATENATE("LA TRESORERIE MOYENNE SUR ",V36," ANS")</f>
        <v>LA TRESORERIE MOYENNE SUR 14 ANS</v>
      </c>
      <c r="C27" s="166"/>
      <c r="D27" s="166"/>
      <c r="E27" s="167"/>
      <c r="F27" s="7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T27" s="15">
        <v>4</v>
      </c>
      <c r="U27" s="11">
        <v>13</v>
      </c>
      <c r="V27" s="12">
        <v>2.1499999999999998E-2</v>
      </c>
      <c r="X27">
        <v>2</v>
      </c>
      <c r="Y27" t="s">
        <v>38</v>
      </c>
      <c r="Z27">
        <v>11</v>
      </c>
      <c r="AA27">
        <v>1.4</v>
      </c>
      <c r="AB27">
        <f>Z27*AA27</f>
        <v>15.399999999999999</v>
      </c>
      <c r="AC27" s="3">
        <v>2300</v>
      </c>
      <c r="AG27" s="21">
        <v>2</v>
      </c>
      <c r="AH27" s="20">
        <v>0</v>
      </c>
      <c r="AI27" s="20">
        <v>0</v>
      </c>
      <c r="AK27">
        <v>2</v>
      </c>
      <c r="AL27" s="5">
        <f ca="1">AL26+1</f>
        <v>2016</v>
      </c>
      <c r="AM27" s="1">
        <f t="shared" ref="AM27:AM56" ca="1" si="22">AM26*(100%+$Y$50)</f>
        <v>135138</v>
      </c>
      <c r="AN27">
        <v>2</v>
      </c>
      <c r="AO27" s="101">
        <v>5000</v>
      </c>
    </row>
    <row r="28" spans="1:49" ht="15" customHeight="1" thickTop="1">
      <c r="A28" s="28"/>
      <c r="B28" s="183" t="s">
        <v>59</v>
      </c>
      <c r="C28" s="184"/>
      <c r="D28" s="184"/>
      <c r="E28" s="112">
        <f ca="1">VLOOKUP($V$36,Feuil3!$A$7:$K$36,11,FALSE)</f>
        <v>-232560.05634488221</v>
      </c>
      <c r="F28" s="8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T28" s="15">
        <v>5</v>
      </c>
      <c r="U28" s="11">
        <v>14</v>
      </c>
      <c r="V28" s="12">
        <v>2.18E-2</v>
      </c>
      <c r="X28">
        <v>3</v>
      </c>
      <c r="Y28" t="s">
        <v>37</v>
      </c>
      <c r="Z28">
        <v>12</v>
      </c>
      <c r="AA28">
        <v>1.4</v>
      </c>
      <c r="AB28">
        <f>Z28*AA28</f>
        <v>16.799999999999997</v>
      </c>
      <c r="AC28" s="3">
        <v>2800</v>
      </c>
      <c r="AD28" s="168">
        <f ca="1">(AC8/3)+90</f>
        <v>393.44938231991017</v>
      </c>
      <c r="AE28" s="168"/>
      <c r="AF28" s="18"/>
      <c r="AG28" s="21">
        <v>3</v>
      </c>
      <c r="AH28" s="20">
        <v>0</v>
      </c>
      <c r="AI28" s="20">
        <v>0</v>
      </c>
      <c r="AK28">
        <v>3</v>
      </c>
      <c r="AL28" s="5">
        <f t="shared" ref="AL28:AL56" ca="1" si="23">AL27+1</f>
        <v>2017</v>
      </c>
      <c r="AM28" s="1">
        <f t="shared" ca="1" si="22"/>
        <v>136489.38</v>
      </c>
      <c r="AN28">
        <v>3</v>
      </c>
      <c r="AO28" s="101">
        <v>10000</v>
      </c>
      <c r="AS28" t="s">
        <v>33</v>
      </c>
      <c r="AT28" t="s">
        <v>34</v>
      </c>
      <c r="AU28" s="93" t="s">
        <v>65</v>
      </c>
      <c r="AV28" s="93"/>
      <c r="AW28" s="93"/>
    </row>
    <row r="29" spans="1:49" ht="15.95" customHeight="1">
      <c r="A29" s="28"/>
      <c r="B29" s="181" t="s">
        <v>60</v>
      </c>
      <c r="C29" s="182"/>
      <c r="D29" s="182"/>
      <c r="E29" s="113">
        <f ca="1">VLOOKUP($V$36,Feuil3!A7:K36,9,FALSE)</f>
        <v>168600.93281531282</v>
      </c>
      <c r="F29" s="84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T29" s="15">
        <v>6</v>
      </c>
      <c r="U29" s="11">
        <v>15</v>
      </c>
      <c r="V29" s="277">
        <v>2.1999999999999999E-2</v>
      </c>
      <c r="X29" s="53">
        <v>1</v>
      </c>
      <c r="Z29" s="16">
        <f>VLOOKUP($X$29,$X$26:$AC$28,3,FALSE)</f>
        <v>7</v>
      </c>
      <c r="AB29" s="16">
        <f>VLOOKUP($X$29,$X$26:$AC$28,5,FALSE)</f>
        <v>9.7999999999999989</v>
      </c>
      <c r="AC29" s="19">
        <f>VLOOKUP($X$29,$X$26:$AC$28,6,FALSE)</f>
        <v>1150</v>
      </c>
      <c r="AD29" s="178">
        <f ca="1">AC29*AD21</f>
        <v>124200</v>
      </c>
      <c r="AE29" s="178"/>
      <c r="AG29" s="21">
        <v>4</v>
      </c>
      <c r="AH29" s="20">
        <v>0</v>
      </c>
      <c r="AI29" s="20">
        <v>0</v>
      </c>
      <c r="AK29">
        <v>4</v>
      </c>
      <c r="AL29" s="5">
        <f t="shared" ca="1" si="23"/>
        <v>2018</v>
      </c>
      <c r="AM29" s="1">
        <f t="shared" ca="1" si="22"/>
        <v>137854.2738</v>
      </c>
      <c r="AN29">
        <v>4</v>
      </c>
      <c r="AO29" s="101">
        <v>15000</v>
      </c>
      <c r="AQ29">
        <v>1</v>
      </c>
      <c r="AR29" s="17">
        <f t="shared" ref="AR29:AR92" si="24">IPMT($E$22/12,AQ29,$V$36*12,$E$21)</f>
        <v>-254.33333333333334</v>
      </c>
      <c r="AS29" s="17">
        <f>-$E$24</f>
        <v>-35</v>
      </c>
      <c r="AT29" s="17">
        <f>SUM(AR29:$AR$29)+SUM(AS29:$AS$29)</f>
        <v>-289.33333333333337</v>
      </c>
      <c r="AU29" s="93" t="s">
        <v>66</v>
      </c>
      <c r="AV29" s="93"/>
      <c r="AW29" s="94"/>
    </row>
    <row r="30" spans="1:49" ht="15.95" customHeight="1">
      <c r="A30" s="28"/>
      <c r="B30" s="181" t="str">
        <f>CONCATENATE("Estimation vacance locative : ", U47," mois/an")</f>
        <v>Estimation vacance locative : 1 mois/an</v>
      </c>
      <c r="C30" s="182"/>
      <c r="D30" s="182"/>
      <c r="E30" s="105"/>
      <c r="F30" s="84"/>
      <c r="G30" s="28"/>
      <c r="H30" s="28"/>
      <c r="I30" s="28"/>
      <c r="J30" s="28"/>
      <c r="K30" s="28"/>
      <c r="L30" s="28"/>
      <c r="M30" s="28"/>
      <c r="N30" s="50"/>
      <c r="O30" s="28"/>
      <c r="P30" s="28"/>
      <c r="Q30" s="28"/>
      <c r="R30" s="28"/>
      <c r="T30" s="15">
        <v>7</v>
      </c>
      <c r="U30" s="11">
        <v>16</v>
      </c>
      <c r="V30" s="12">
        <v>2.1999999999999999E-2</v>
      </c>
      <c r="AF30" s="18"/>
      <c r="AG30" s="21">
        <v>5</v>
      </c>
      <c r="AH30" s="20">
        <v>0</v>
      </c>
      <c r="AI30" s="20">
        <v>0</v>
      </c>
      <c r="AK30">
        <v>5</v>
      </c>
      <c r="AL30" s="5">
        <f t="shared" ca="1" si="23"/>
        <v>2019</v>
      </c>
      <c r="AM30" s="1">
        <f t="shared" ca="1" si="22"/>
        <v>139232.81653799998</v>
      </c>
      <c r="AN30">
        <v>5</v>
      </c>
      <c r="AO30" s="101">
        <v>20000</v>
      </c>
      <c r="AQ30">
        <v>2</v>
      </c>
      <c r="AR30" s="17">
        <f t="shared" si="24"/>
        <v>-253.03736681448882</v>
      </c>
      <c r="AS30" s="17">
        <f t="shared" ref="AS30:AS93" si="25">-$E$24</f>
        <v>-35</v>
      </c>
      <c r="AT30" s="17">
        <f>SUM(AR$29:$AR30)+SUM(AS$29:$AS30)</f>
        <v>-577.37070014782216</v>
      </c>
      <c r="AU30" s="169"/>
      <c r="AV30" s="169"/>
      <c r="AW30" s="169"/>
    </row>
    <row r="31" spans="1:49" ht="15.95" customHeight="1" thickBot="1">
      <c r="A31" s="28"/>
      <c r="B31" s="107"/>
      <c r="C31" s="108"/>
      <c r="D31" s="109" t="s">
        <v>61</v>
      </c>
      <c r="E31" s="110">
        <f ca="1">E29-E30</f>
        <v>168600.93281531282</v>
      </c>
      <c r="F31" s="85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T31" s="15">
        <v>8</v>
      </c>
      <c r="U31" s="11">
        <v>17</v>
      </c>
      <c r="V31" s="12">
        <v>2.2499999999999999E-2</v>
      </c>
      <c r="AG31" s="21">
        <v>6</v>
      </c>
      <c r="AH31" s="20">
        <v>0</v>
      </c>
      <c r="AI31" s="20">
        <v>0</v>
      </c>
      <c r="AK31">
        <v>6</v>
      </c>
      <c r="AL31" s="5">
        <f t="shared" ca="1" si="23"/>
        <v>2020</v>
      </c>
      <c r="AM31" s="1">
        <f t="shared" ca="1" si="22"/>
        <v>140625.14470337998</v>
      </c>
      <c r="AN31">
        <v>6</v>
      </c>
      <c r="AO31" s="101">
        <v>25000</v>
      </c>
      <c r="AQ31">
        <v>3</v>
      </c>
      <c r="AR31" s="17">
        <f t="shared" si="24"/>
        <v>-251.73904595646843</v>
      </c>
      <c r="AS31" s="17">
        <f t="shared" si="25"/>
        <v>-35</v>
      </c>
      <c r="AT31" s="17">
        <f>SUM(AR$29:$AR31)+SUM(AS$29:$AS31)</f>
        <v>-864.10974610429059</v>
      </c>
      <c r="AU31" s="215" t="s">
        <v>63</v>
      </c>
      <c r="AV31" s="215"/>
      <c r="AW31" s="215"/>
    </row>
    <row r="32" spans="1:49" ht="15.95" customHeight="1" thickBot="1">
      <c r="A32" s="28"/>
      <c r="B32" s="89"/>
      <c r="C32" s="90"/>
      <c r="D32" s="87" t="str">
        <f ca="1">IF(E32&gt;0,CONCATENATE("Vos revenus sur ",V36," ans"),CONCATENATE("Votre épargne sur ",V36," ans"))</f>
        <v>Votre épargne sur 14 ans</v>
      </c>
      <c r="E32" s="88">
        <f ca="1">E28+E31</f>
        <v>-63959.123529569391</v>
      </c>
      <c r="F32" s="85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T32" s="15">
        <v>9</v>
      </c>
      <c r="U32" s="11">
        <v>18</v>
      </c>
      <c r="V32" s="12">
        <v>2.3E-2</v>
      </c>
      <c r="X32" s="39" t="s">
        <v>58</v>
      </c>
      <c r="Y32" s="40"/>
      <c r="Z32" s="41"/>
      <c r="AG32" s="21">
        <v>7</v>
      </c>
      <c r="AH32" s="20">
        <v>0</v>
      </c>
      <c r="AI32" s="20">
        <v>0</v>
      </c>
      <c r="AK32">
        <v>7</v>
      </c>
      <c r="AL32" s="5">
        <f t="shared" ca="1" si="23"/>
        <v>2021</v>
      </c>
      <c r="AM32" s="1">
        <f t="shared" ca="1" si="22"/>
        <v>142031.39615041378</v>
      </c>
      <c r="AN32">
        <v>7</v>
      </c>
      <c r="AO32" s="101">
        <v>30000</v>
      </c>
      <c r="AQ32">
        <v>4</v>
      </c>
      <c r="AR32" s="17">
        <f t="shared" si="24"/>
        <v>-250.43836648222265</v>
      </c>
      <c r="AS32" s="17">
        <f t="shared" si="25"/>
        <v>-35</v>
      </c>
      <c r="AT32" s="17">
        <f>SUM(AR$29:$AR32)+SUM(AS$29:$AS32)</f>
        <v>-1149.5481125865133</v>
      </c>
      <c r="AU32" s="215"/>
      <c r="AV32" s="215"/>
      <c r="AW32" s="215"/>
    </row>
    <row r="33" spans="1:50" ht="15.95" customHeight="1" thickTop="1">
      <c r="A33" s="28"/>
      <c r="B33" s="91"/>
      <c r="C33" s="92"/>
      <c r="D33" s="111" t="str">
        <f>IF(E20&gt;0,"Votre apport personnel","")</f>
        <v>Votre apport personnel</v>
      </c>
      <c r="E33" s="106">
        <f>IF(E20=0,"",E20)</f>
        <v>20000</v>
      </c>
      <c r="F33" s="84"/>
      <c r="G33" s="217" t="str">
        <f>CONCATENATE("Votre revenu mensuel complémentaire net au bout de ",V36," ans")</f>
        <v>Votre revenu mensuel complémentaire net au bout de 14 ans</v>
      </c>
      <c r="H33" s="217"/>
      <c r="I33" s="217"/>
      <c r="J33" s="218">
        <f ca="1">VLOOKUP(($V$36+1),Feuil3!$A$7:$H$36,8,FALSE)</f>
        <v>645.5773799321247</v>
      </c>
      <c r="K33" s="219"/>
      <c r="L33" s="224" t="str">
        <f ca="1">CONCATENATE("Grâce aux amortissements, vos revenus de location meublée seront non imposés jusqu'en ",Feuil2!N38)</f>
        <v>Grâce aux amortissements, vos revenus de location meublée seront non imposés jusqu'en 2026</v>
      </c>
      <c r="M33" s="224"/>
      <c r="N33" s="224"/>
      <c r="O33" s="225"/>
      <c r="P33" s="225"/>
      <c r="Q33" s="28"/>
      <c r="R33" s="28"/>
      <c r="T33" s="15">
        <v>10</v>
      </c>
      <c r="U33" s="11">
        <v>19</v>
      </c>
      <c r="V33" s="12">
        <v>2.4E-2</v>
      </c>
      <c r="X33" s="33">
        <v>1</v>
      </c>
      <c r="Y33" s="34">
        <v>5.0000000000000001E-3</v>
      </c>
      <c r="Z33" s="35"/>
      <c r="AG33" s="21">
        <v>8</v>
      </c>
      <c r="AH33" s="20">
        <v>0</v>
      </c>
      <c r="AI33" s="20">
        <v>0</v>
      </c>
      <c r="AK33">
        <v>8</v>
      </c>
      <c r="AL33" s="5">
        <f t="shared" ca="1" si="23"/>
        <v>2022</v>
      </c>
      <c r="AM33" s="1">
        <f t="shared" ca="1" si="22"/>
        <v>143451.71011191793</v>
      </c>
      <c r="AN33">
        <v>8</v>
      </c>
      <c r="AO33" s="101">
        <v>40000</v>
      </c>
      <c r="AQ33">
        <v>5</v>
      </c>
      <c r="AR33" s="17">
        <f t="shared" si="24"/>
        <v>-249.13532410693196</v>
      </c>
      <c r="AS33" s="17">
        <f t="shared" si="25"/>
        <v>-35</v>
      </c>
      <c r="AT33" s="17">
        <f>SUM(AR$29:$AR33)+SUM(AS$29:$AS33)</f>
        <v>-1433.6834366934452</v>
      </c>
      <c r="AU33" s="215"/>
      <c r="AV33" s="215"/>
      <c r="AW33" s="215"/>
      <c r="AX33">
        <f>927*240</f>
        <v>222480</v>
      </c>
    </row>
    <row r="34" spans="1:50" ht="15.95" customHeight="1">
      <c r="A34" s="28"/>
      <c r="B34" s="226" t="str">
        <f ca="1">IF(E34&gt;0,"Revenu mensuel moyen","Epargne mensuelle moyenne")</f>
        <v>Epargne mensuelle moyenne</v>
      </c>
      <c r="C34" s="227"/>
      <c r="D34" s="227"/>
      <c r="E34" s="281">
        <f ca="1">IF(E7="Concept impossible","!!!",E32/12/V36)</f>
        <v>-380.70906862838922</v>
      </c>
      <c r="F34" s="86"/>
      <c r="G34" s="217"/>
      <c r="H34" s="217"/>
      <c r="I34" s="217"/>
      <c r="J34" s="220"/>
      <c r="K34" s="221"/>
      <c r="L34" s="224"/>
      <c r="M34" s="224"/>
      <c r="N34" s="224"/>
      <c r="O34" s="225"/>
      <c r="P34" s="225"/>
      <c r="Q34" s="28"/>
      <c r="R34" s="28"/>
      <c r="T34" s="15">
        <v>11</v>
      </c>
      <c r="U34" s="11">
        <v>20</v>
      </c>
      <c r="V34" s="277">
        <v>2.5000000000000001E-2</v>
      </c>
      <c r="X34" s="33">
        <v>2</v>
      </c>
      <c r="Y34" s="34">
        <v>7.4999999999999997E-3</v>
      </c>
      <c r="Z34" s="35"/>
      <c r="AG34" s="21">
        <v>9</v>
      </c>
      <c r="AH34" s="20">
        <v>0</v>
      </c>
      <c r="AI34" s="20">
        <v>0</v>
      </c>
      <c r="AK34">
        <v>9</v>
      </c>
      <c r="AL34" s="5">
        <f t="shared" ca="1" si="23"/>
        <v>2023</v>
      </c>
      <c r="AM34" s="1">
        <f t="shared" ca="1" si="22"/>
        <v>144886.22721303711</v>
      </c>
      <c r="AN34">
        <v>9</v>
      </c>
      <c r="AO34" s="101">
        <v>50000</v>
      </c>
      <c r="AQ34">
        <v>6</v>
      </c>
      <c r="AR34" s="17">
        <f t="shared" si="24"/>
        <v>-247.82991453799283</v>
      </c>
      <c r="AS34" s="17">
        <f t="shared" si="25"/>
        <v>-35</v>
      </c>
      <c r="AT34" s="17">
        <f>SUM(AR$29:$AR34)+SUM(AS$29:$AS34)</f>
        <v>-1716.513351231438</v>
      </c>
      <c r="AU34" s="215"/>
      <c r="AV34" s="215"/>
      <c r="AW34" s="215"/>
    </row>
    <row r="35" spans="1:50" ht="15.95" customHeight="1" thickBot="1">
      <c r="A35" s="28"/>
      <c r="B35" s="228"/>
      <c r="C35" s="229"/>
      <c r="D35" s="229"/>
      <c r="E35" s="282"/>
      <c r="F35" s="83"/>
      <c r="G35" s="217"/>
      <c r="H35" s="217"/>
      <c r="I35" s="217"/>
      <c r="J35" s="222"/>
      <c r="K35" s="223"/>
      <c r="L35" s="224"/>
      <c r="M35" s="224"/>
      <c r="N35" s="224"/>
      <c r="O35" s="225"/>
      <c r="P35" s="225"/>
      <c r="Q35" s="28"/>
      <c r="R35" s="28"/>
      <c r="T35" s="15">
        <v>12</v>
      </c>
      <c r="U35" s="11">
        <v>25</v>
      </c>
      <c r="V35" s="12">
        <v>2.8000000000000001E-2</v>
      </c>
      <c r="X35" s="33">
        <v>3</v>
      </c>
      <c r="Y35" s="34">
        <v>0.01</v>
      </c>
      <c r="Z35" s="35"/>
      <c r="AG35" s="21">
        <v>10</v>
      </c>
      <c r="AH35" s="20">
        <v>0</v>
      </c>
      <c r="AI35" s="20">
        <v>0</v>
      </c>
      <c r="AK35">
        <v>10</v>
      </c>
      <c r="AL35" s="5">
        <f t="shared" ca="1" si="23"/>
        <v>2024</v>
      </c>
      <c r="AM35" s="1">
        <f t="shared" ca="1" si="22"/>
        <v>146335.0894851675</v>
      </c>
      <c r="AN35">
        <v>10</v>
      </c>
      <c r="AO35" s="101">
        <v>60000</v>
      </c>
      <c r="AQ35">
        <v>7</v>
      </c>
      <c r="AR35" s="17">
        <f t="shared" si="24"/>
        <v>-246.52213347500344</v>
      </c>
      <c r="AS35" s="17">
        <f t="shared" si="25"/>
        <v>-35</v>
      </c>
      <c r="AT35" s="17">
        <f>SUM(AR$29:$AR35)+SUM(AS$29:$AS35)</f>
        <v>-1998.0354847064414</v>
      </c>
    </row>
    <row r="36" spans="1:50" ht="15.95" customHeight="1" thickTop="1">
      <c r="A36" s="216" t="s">
        <v>62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45"/>
      <c r="T36"/>
      <c r="U36" s="53">
        <v>5</v>
      </c>
      <c r="V36">
        <f>VLOOKUP(U36,$T$24:$U$35,2,FALSE)</f>
        <v>14</v>
      </c>
      <c r="X36" s="33">
        <v>4</v>
      </c>
      <c r="Y36" s="34">
        <v>1.2500000000000001E-2</v>
      </c>
      <c r="Z36" s="35"/>
      <c r="AG36" s="21">
        <v>11</v>
      </c>
      <c r="AH36" s="20">
        <v>0</v>
      </c>
      <c r="AI36" s="20">
        <v>0</v>
      </c>
      <c r="AK36">
        <v>11</v>
      </c>
      <c r="AL36" s="5">
        <f t="shared" ca="1" si="23"/>
        <v>2025</v>
      </c>
      <c r="AM36" s="1">
        <f t="shared" ca="1" si="22"/>
        <v>147798.44038001916</v>
      </c>
      <c r="AN36">
        <v>11</v>
      </c>
      <c r="AO36" s="101">
        <v>70000</v>
      </c>
      <c r="AQ36">
        <v>8</v>
      </c>
      <c r="AR36" s="17">
        <f t="shared" si="24"/>
        <v>-245.21197660974963</v>
      </c>
      <c r="AS36" s="17">
        <f t="shared" si="25"/>
        <v>-35</v>
      </c>
      <c r="AT36" s="17">
        <f>SUM(AR$29:$AR36)+SUM(AS$29:$AS36)</f>
        <v>-2278.2474613161912</v>
      </c>
    </row>
    <row r="37" spans="1:50">
      <c r="A37" s="187" t="s">
        <v>64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T37"/>
      <c r="X37" s="33">
        <v>5</v>
      </c>
      <c r="Y37" s="34">
        <v>1.4999999999999999E-2</v>
      </c>
      <c r="Z37" s="35"/>
      <c r="AG37" s="21">
        <v>12</v>
      </c>
      <c r="AH37" s="20">
        <v>0</v>
      </c>
      <c r="AI37" s="20">
        <v>0</v>
      </c>
      <c r="AK37">
        <v>12</v>
      </c>
      <c r="AL37" s="5">
        <f t="shared" ca="1" si="23"/>
        <v>2026</v>
      </c>
      <c r="AM37" s="1">
        <f t="shared" ca="1" si="22"/>
        <v>149276.42478381936</v>
      </c>
      <c r="AN37">
        <v>12</v>
      </c>
      <c r="AO37" s="101">
        <v>80000</v>
      </c>
      <c r="AQ37">
        <v>9</v>
      </c>
      <c r="AR37" s="17">
        <f t="shared" si="24"/>
        <v>-243.89943962619071</v>
      </c>
      <c r="AS37" s="17">
        <f t="shared" si="25"/>
        <v>-35</v>
      </c>
      <c r="AT37" s="17">
        <f>SUM(AR$29:$AR37)+SUM(AS$29:$AS37)</f>
        <v>-2557.1469009423818</v>
      </c>
    </row>
    <row r="38" spans="1:50">
      <c r="T38"/>
      <c r="X38" s="33">
        <v>6</v>
      </c>
      <c r="Y38" s="34">
        <v>1.7500000000000002E-2</v>
      </c>
      <c r="Z38" s="35"/>
      <c r="AG38" s="21">
        <v>13</v>
      </c>
      <c r="AH38" s="20">
        <v>0</v>
      </c>
      <c r="AI38" s="20">
        <v>0</v>
      </c>
      <c r="AK38">
        <v>13</v>
      </c>
      <c r="AL38" s="5">
        <f t="shared" ca="1" si="23"/>
        <v>2027</v>
      </c>
      <c r="AM38" s="1">
        <f t="shared" ca="1" si="22"/>
        <v>150769.18903165756</v>
      </c>
      <c r="AN38">
        <v>13</v>
      </c>
      <c r="AO38" s="101">
        <v>90000</v>
      </c>
      <c r="AQ38">
        <v>10</v>
      </c>
      <c r="AR38" s="17">
        <f t="shared" si="24"/>
        <v>-242.58451820044488</v>
      </c>
      <c r="AS38" s="17">
        <f t="shared" si="25"/>
        <v>-35</v>
      </c>
      <c r="AT38" s="17">
        <f>SUM(AR$29:$AR38)+SUM(AS$29:$AS38)</f>
        <v>-2834.7314191428268</v>
      </c>
    </row>
    <row r="39" spans="1:50">
      <c r="T39"/>
      <c r="X39" s="33">
        <v>7</v>
      </c>
      <c r="Y39" s="34">
        <v>0.02</v>
      </c>
      <c r="Z39" s="35"/>
      <c r="AG39" s="21">
        <v>14</v>
      </c>
      <c r="AH39" s="20">
        <v>0</v>
      </c>
      <c r="AI39" s="20">
        <v>0</v>
      </c>
      <c r="AK39">
        <v>14</v>
      </c>
      <c r="AL39" s="5">
        <f t="shared" ca="1" si="23"/>
        <v>2028</v>
      </c>
      <c r="AM39" s="1">
        <f t="shared" ca="1" si="22"/>
        <v>152276.88092197414</v>
      </c>
      <c r="AN39">
        <v>14</v>
      </c>
      <c r="AO39" s="101">
        <v>100000</v>
      </c>
      <c r="AQ39">
        <v>11</v>
      </c>
      <c r="AR39" s="17">
        <f t="shared" si="24"/>
        <v>-241.26720800077572</v>
      </c>
      <c r="AS39" s="17">
        <f t="shared" si="25"/>
        <v>-35</v>
      </c>
      <c r="AT39" s="17">
        <f>SUM(AR$29:$AR39)+SUM(AS$29:$AS39)</f>
        <v>-3110.9986271436023</v>
      </c>
    </row>
    <row r="40" spans="1:50">
      <c r="X40" s="33">
        <v>8</v>
      </c>
      <c r="Y40" s="34">
        <v>2.2499999999999999E-2</v>
      </c>
      <c r="Z40" s="35"/>
      <c r="AG40" s="21">
        <v>15</v>
      </c>
      <c r="AH40" s="2">
        <v>1</v>
      </c>
      <c r="AI40" t="s">
        <v>44</v>
      </c>
      <c r="AK40">
        <v>15</v>
      </c>
      <c r="AL40" s="5">
        <f t="shared" ca="1" si="23"/>
        <v>2029</v>
      </c>
      <c r="AM40" s="1">
        <f t="shared" ca="1" si="22"/>
        <v>153799.64973119387</v>
      </c>
      <c r="AN40">
        <v>15</v>
      </c>
      <c r="AO40" s="101">
        <v>110000</v>
      </c>
      <c r="AQ40">
        <v>12</v>
      </c>
      <c r="AR40" s="17">
        <f t="shared" si="24"/>
        <v>-239.94750468757692</v>
      </c>
      <c r="AS40" s="17">
        <f t="shared" si="25"/>
        <v>-35</v>
      </c>
      <c r="AT40" s="163">
        <f>SUM(AR$29:$AR40)+SUM(AS$29:$AS40)</f>
        <v>-3385.9461318311792</v>
      </c>
    </row>
    <row r="41" spans="1:50" ht="15.75" thickBot="1">
      <c r="U41" s="13" t="s">
        <v>25</v>
      </c>
      <c r="V41" s="9">
        <v>0.3</v>
      </c>
      <c r="W41" s="1">
        <f>E21*V41%/12</f>
        <v>35</v>
      </c>
      <c r="X41" s="54">
        <v>1</v>
      </c>
      <c r="Y41" s="37"/>
      <c r="Z41" s="47">
        <f>VLOOKUP(X41,X33:Y40,2,FALSE)</f>
        <v>5.0000000000000001E-3</v>
      </c>
      <c r="AG41" s="21">
        <v>16</v>
      </c>
      <c r="AH41" s="2">
        <v>1</v>
      </c>
      <c r="AI41" t="s">
        <v>44</v>
      </c>
      <c r="AK41">
        <v>16</v>
      </c>
      <c r="AL41" s="5">
        <f t="shared" ca="1" si="23"/>
        <v>2030</v>
      </c>
      <c r="AM41" s="1">
        <f t="shared" ca="1" si="22"/>
        <v>155337.64622850582</v>
      </c>
      <c r="AN41">
        <v>16</v>
      </c>
      <c r="AO41" s="101">
        <v>120000</v>
      </c>
      <c r="AQ41">
        <v>13</v>
      </c>
      <c r="AR41" s="17">
        <f t="shared" si="24"/>
        <v>-238.62540391335935</v>
      </c>
      <c r="AS41" s="17">
        <f t="shared" si="25"/>
        <v>-35</v>
      </c>
      <c r="AT41" s="17">
        <f>SUM(AR$41:$AR41)+SUM(AS$41:$AS41)</f>
        <v>-273.62540391335938</v>
      </c>
    </row>
    <row r="42" spans="1:50" ht="15.75" thickBot="1">
      <c r="U42" t="s">
        <v>72</v>
      </c>
      <c r="X42" s="39" t="s">
        <v>52</v>
      </c>
      <c r="Y42" s="40"/>
      <c r="Z42" s="41"/>
      <c r="AG42" s="21">
        <v>17</v>
      </c>
      <c r="AH42" s="2">
        <v>1</v>
      </c>
      <c r="AI42" t="s">
        <v>44</v>
      </c>
      <c r="AK42">
        <v>17</v>
      </c>
      <c r="AL42" s="5">
        <f t="shared" ca="1" si="23"/>
        <v>2031</v>
      </c>
      <c r="AM42" s="1">
        <f t="shared" ca="1" si="22"/>
        <v>156891.02269079088</v>
      </c>
      <c r="AN42">
        <v>17</v>
      </c>
      <c r="AO42" s="101">
        <v>130000</v>
      </c>
      <c r="AQ42">
        <v>14</v>
      </c>
      <c r="AR42" s="17">
        <f t="shared" si="24"/>
        <v>-237.30090132273534</v>
      </c>
      <c r="AS42" s="17">
        <f t="shared" si="25"/>
        <v>-35</v>
      </c>
      <c r="AT42" s="17">
        <f>SUM(AR$41:$AR42)+SUM(AS$41:$AS42)</f>
        <v>-545.92630523609466</v>
      </c>
    </row>
    <row r="43" spans="1:50">
      <c r="T43" s="278">
        <v>1</v>
      </c>
      <c r="U43" s="279">
        <v>0</v>
      </c>
      <c r="X43" s="33">
        <v>1</v>
      </c>
      <c r="Y43" s="34">
        <v>5.0000000000000001E-3</v>
      </c>
      <c r="Z43" s="35"/>
      <c r="AG43" s="21">
        <v>18</v>
      </c>
      <c r="AH43" s="2">
        <v>1</v>
      </c>
      <c r="AI43" t="s">
        <v>44</v>
      </c>
      <c r="AK43">
        <v>18</v>
      </c>
      <c r="AL43" s="5">
        <f t="shared" ca="1" si="23"/>
        <v>2032</v>
      </c>
      <c r="AM43" s="1">
        <f t="shared" ca="1" si="22"/>
        <v>158459.93291769878</v>
      </c>
      <c r="AN43">
        <v>18</v>
      </c>
      <c r="AO43" s="101">
        <v>140000</v>
      </c>
      <c r="AQ43">
        <v>15</v>
      </c>
      <c r="AR43" s="17">
        <f t="shared" si="24"/>
        <v>-235.97399255240484</v>
      </c>
      <c r="AS43" s="17">
        <f t="shared" si="25"/>
        <v>-35</v>
      </c>
      <c r="AT43" s="17">
        <f>SUM(AR$41:$AR43)+SUM(AS$41:$AS43)</f>
        <v>-816.90029778849953</v>
      </c>
    </row>
    <row r="44" spans="1:50">
      <c r="T44" s="278">
        <v>2</v>
      </c>
      <c r="U44" s="279">
        <v>1</v>
      </c>
      <c r="X44" s="33">
        <v>2</v>
      </c>
      <c r="Y44" s="34">
        <v>7.4999999999999997E-3</v>
      </c>
      <c r="Z44" s="35"/>
      <c r="AG44" s="21">
        <v>19</v>
      </c>
      <c r="AH44" s="2">
        <v>1</v>
      </c>
      <c r="AI44" t="s">
        <v>44</v>
      </c>
      <c r="AK44">
        <v>19</v>
      </c>
      <c r="AL44" s="5">
        <f t="shared" ca="1" si="23"/>
        <v>2033</v>
      </c>
      <c r="AM44" s="1">
        <f t="shared" ca="1" si="22"/>
        <v>160044.53224687578</v>
      </c>
      <c r="AN44">
        <v>19</v>
      </c>
      <c r="AO44" s="101">
        <v>150000</v>
      </c>
      <c r="AQ44">
        <v>16</v>
      </c>
      <c r="AR44" s="17">
        <f t="shared" si="24"/>
        <v>-234.6446732311417</v>
      </c>
      <c r="AS44" s="17">
        <f t="shared" si="25"/>
        <v>-35</v>
      </c>
      <c r="AT44" s="17">
        <f>SUM(AR$41:$AR44)+SUM(AS$41:$AS44)</f>
        <v>-1086.5449710196413</v>
      </c>
    </row>
    <row r="45" spans="1:50">
      <c r="T45" s="278">
        <v>3</v>
      </c>
      <c r="U45" s="279">
        <v>1.5</v>
      </c>
      <c r="X45" s="33">
        <v>3</v>
      </c>
      <c r="Y45" s="34">
        <v>0.01</v>
      </c>
      <c r="Z45" s="35"/>
      <c r="AG45" s="21">
        <v>20</v>
      </c>
      <c r="AH45" s="2">
        <v>1</v>
      </c>
      <c r="AI45" t="s">
        <v>44</v>
      </c>
      <c r="AK45">
        <v>20</v>
      </c>
      <c r="AL45" s="5">
        <f t="shared" ca="1" si="23"/>
        <v>2034</v>
      </c>
      <c r="AM45" s="1">
        <f t="shared" ca="1" si="22"/>
        <v>161644.97756934454</v>
      </c>
      <c r="AN45">
        <v>20</v>
      </c>
      <c r="AO45" s="101">
        <v>160000</v>
      </c>
      <c r="AQ45">
        <v>17</v>
      </c>
      <c r="AR45" s="17">
        <f t="shared" si="24"/>
        <v>-233.31293897977821</v>
      </c>
      <c r="AS45" s="17">
        <f t="shared" si="25"/>
        <v>-35</v>
      </c>
      <c r="AT45" s="17">
        <f>SUM(AR$41:$AR45)+SUM(AS$41:$AS45)</f>
        <v>-1354.8579099994195</v>
      </c>
    </row>
    <row r="46" spans="1:50">
      <c r="T46" s="278">
        <v>4</v>
      </c>
      <c r="U46" s="279">
        <v>2</v>
      </c>
      <c r="X46" s="33">
        <v>4</v>
      </c>
      <c r="Y46" s="34">
        <v>1.2500000000000001E-2</v>
      </c>
      <c r="Z46" s="35"/>
      <c r="AG46" s="21">
        <v>21</v>
      </c>
      <c r="AH46" s="2">
        <v>1</v>
      </c>
      <c r="AI46" t="s">
        <v>44</v>
      </c>
      <c r="AK46">
        <v>21</v>
      </c>
      <c r="AL46" s="5">
        <f t="shared" ca="1" si="23"/>
        <v>2035</v>
      </c>
      <c r="AM46" s="1">
        <f t="shared" ca="1" si="22"/>
        <v>163261.42734503798</v>
      </c>
      <c r="AN46">
        <v>21</v>
      </c>
      <c r="AO46" s="101">
        <v>170000</v>
      </c>
      <c r="AQ46">
        <v>18</v>
      </c>
      <c r="AR46" s="17">
        <f t="shared" si="24"/>
        <v>-231.9787854111915</v>
      </c>
      <c r="AS46" s="17">
        <f t="shared" si="25"/>
        <v>-35</v>
      </c>
      <c r="AT46" s="17">
        <f>SUM(AR$41:$AR46)+SUM(AS$41:$AS46)</f>
        <v>-1621.8366954106109</v>
      </c>
    </row>
    <row r="47" spans="1:50">
      <c r="T47" s="280">
        <v>2</v>
      </c>
      <c r="U47" s="279">
        <f>VLOOKUP(T47,T43:U46,2,FALSE)</f>
        <v>1</v>
      </c>
      <c r="X47" s="33">
        <v>5</v>
      </c>
      <c r="Y47" s="34">
        <v>1.4999999999999999E-2</v>
      </c>
      <c r="Z47" s="35"/>
      <c r="AG47" s="21">
        <v>22</v>
      </c>
      <c r="AH47" s="2">
        <v>1</v>
      </c>
      <c r="AI47" t="s">
        <v>44</v>
      </c>
      <c r="AK47">
        <v>22</v>
      </c>
      <c r="AL47" s="5">
        <f t="shared" ca="1" si="23"/>
        <v>2036</v>
      </c>
      <c r="AM47" s="1">
        <f t="shared" ca="1" si="22"/>
        <v>164894.04161848838</v>
      </c>
      <c r="AN47">
        <v>22</v>
      </c>
      <c r="AO47" s="101">
        <v>180000</v>
      </c>
      <c r="AQ47">
        <v>19</v>
      </c>
      <c r="AR47" s="17">
        <f t="shared" si="24"/>
        <v>-230.6422081302884</v>
      </c>
      <c r="AS47" s="17">
        <f t="shared" si="25"/>
        <v>-35</v>
      </c>
      <c r="AT47" s="17">
        <f>SUM(AR$41:$AR47)+SUM(AS$41:$AS47)</f>
        <v>-1887.4789035408994</v>
      </c>
    </row>
    <row r="48" spans="1:50">
      <c r="X48" s="33">
        <v>6</v>
      </c>
      <c r="Y48" s="34">
        <v>1.7500000000000002E-2</v>
      </c>
      <c r="Z48" s="35"/>
      <c r="AG48" s="21">
        <v>23</v>
      </c>
      <c r="AH48" s="2">
        <v>1</v>
      </c>
      <c r="AI48" t="s">
        <v>44</v>
      </c>
      <c r="AK48">
        <v>23</v>
      </c>
      <c r="AL48" s="5">
        <f t="shared" ca="1" si="23"/>
        <v>2037</v>
      </c>
      <c r="AM48" s="1">
        <f t="shared" ca="1" si="22"/>
        <v>166542.98203467327</v>
      </c>
      <c r="AN48">
        <v>23</v>
      </c>
      <c r="AO48" s="101">
        <v>190000</v>
      </c>
      <c r="AQ48">
        <v>20</v>
      </c>
      <c r="AR48" s="17">
        <f t="shared" si="24"/>
        <v>-229.30320273399161</v>
      </c>
      <c r="AS48" s="17">
        <f t="shared" si="25"/>
        <v>-35</v>
      </c>
      <c r="AT48" s="17">
        <f>SUM(AR$41:$AR48)+SUM(AS$41:$AS48)</f>
        <v>-2151.7821062748908</v>
      </c>
    </row>
    <row r="49" spans="24:46" ht="15.75" thickBot="1">
      <c r="X49" s="36">
        <v>7</v>
      </c>
      <c r="Y49" s="42">
        <v>0.02</v>
      </c>
      <c r="Z49" s="38"/>
      <c r="AG49" s="21">
        <v>24</v>
      </c>
      <c r="AH49" s="2">
        <v>1</v>
      </c>
      <c r="AI49" t="s">
        <v>44</v>
      </c>
      <c r="AK49">
        <v>24</v>
      </c>
      <c r="AL49" s="5">
        <f t="shared" ca="1" si="23"/>
        <v>2038</v>
      </c>
      <c r="AM49" s="1">
        <f t="shared" ca="1" si="22"/>
        <v>168208.41185502001</v>
      </c>
      <c r="AN49">
        <v>24</v>
      </c>
      <c r="AO49" s="101">
        <v>200000</v>
      </c>
      <c r="AQ49">
        <v>21</v>
      </c>
      <c r="AR49" s="17">
        <f t="shared" si="24"/>
        <v>-227.96176481122501</v>
      </c>
      <c r="AS49" s="17">
        <f t="shared" si="25"/>
        <v>-35</v>
      </c>
      <c r="AT49" s="17">
        <f>SUM(AR$41:$AR49)+SUM(AS$41:$AS49)</f>
        <v>-2414.7438710861161</v>
      </c>
    </row>
    <row r="50" spans="24:46">
      <c r="X50" s="53">
        <v>3</v>
      </c>
      <c r="Y50" s="10">
        <f>VLOOKUP(X50,X43:Y49,2,FALSE)</f>
        <v>0.01</v>
      </c>
      <c r="AG50" s="21">
        <v>25</v>
      </c>
      <c r="AH50" s="2">
        <v>1</v>
      </c>
      <c r="AI50" t="s">
        <v>44</v>
      </c>
      <c r="AK50">
        <v>25</v>
      </c>
      <c r="AL50" s="5">
        <f t="shared" ca="1" si="23"/>
        <v>2039</v>
      </c>
      <c r="AM50" s="1">
        <f t="shared" ca="1" si="22"/>
        <v>169890.49597357021</v>
      </c>
      <c r="AN50">
        <v>25</v>
      </c>
      <c r="AO50" s="101">
        <v>210000</v>
      </c>
      <c r="AQ50">
        <v>22</v>
      </c>
      <c r="AR50" s="17">
        <f t="shared" si="24"/>
        <v>-226.61788994289881</v>
      </c>
      <c r="AS50" s="17">
        <f t="shared" si="25"/>
        <v>-35</v>
      </c>
      <c r="AT50" s="17">
        <f>SUM(AR$41:$AR50)+SUM(AS$41:$AS50)</f>
        <v>-2676.3617610290148</v>
      </c>
    </row>
    <row r="51" spans="24:46">
      <c r="AG51" s="21">
        <v>26</v>
      </c>
      <c r="AH51" s="2">
        <v>1</v>
      </c>
      <c r="AI51" t="s">
        <v>44</v>
      </c>
      <c r="AK51">
        <v>26</v>
      </c>
      <c r="AL51" s="5">
        <f t="shared" ca="1" si="23"/>
        <v>2040</v>
      </c>
      <c r="AM51" s="1">
        <f t="shared" ca="1" si="22"/>
        <v>171589.40093330591</v>
      </c>
      <c r="AN51">
        <v>26</v>
      </c>
      <c r="AO51" s="101">
        <v>220000</v>
      </c>
      <c r="AQ51">
        <v>23</v>
      </c>
      <c r="AR51" s="17">
        <f t="shared" si="24"/>
        <v>-225.27157370189485</v>
      </c>
      <c r="AS51" s="17">
        <f t="shared" si="25"/>
        <v>-35</v>
      </c>
      <c r="AT51" s="17">
        <f>SUM(AR$41:$AR51)+SUM(AS$41:$AS51)</f>
        <v>-2936.6333347309096</v>
      </c>
    </row>
    <row r="52" spans="24:46">
      <c r="AG52" s="21">
        <v>27</v>
      </c>
      <c r="AH52" s="2">
        <v>1</v>
      </c>
      <c r="AI52" t="s">
        <v>44</v>
      </c>
      <c r="AK52">
        <v>27</v>
      </c>
      <c r="AL52" s="5">
        <f t="shared" ca="1" si="23"/>
        <v>2041</v>
      </c>
      <c r="AM52" s="1">
        <f t="shared" ca="1" si="22"/>
        <v>173305.29494263898</v>
      </c>
      <c r="AN52">
        <v>27</v>
      </c>
      <c r="AO52" s="101">
        <v>230000</v>
      </c>
      <c r="AQ52">
        <v>24</v>
      </c>
      <c r="AR52" s="17">
        <f t="shared" si="24"/>
        <v>-223.92281165305337</v>
      </c>
      <c r="AS52" s="17">
        <f t="shared" si="25"/>
        <v>-35</v>
      </c>
      <c r="AT52" s="163">
        <f>SUM(AR$41:$AR52)+SUM(AS$41:$AS52)</f>
        <v>-3195.5561463839631</v>
      </c>
    </row>
    <row r="53" spans="24:46">
      <c r="AG53" s="21">
        <v>28</v>
      </c>
      <c r="AH53" s="2">
        <v>1</v>
      </c>
      <c r="AI53" t="s">
        <v>44</v>
      </c>
      <c r="AK53">
        <v>28</v>
      </c>
      <c r="AL53" s="5">
        <f t="shared" ca="1" si="23"/>
        <v>2042</v>
      </c>
      <c r="AM53" s="1">
        <f t="shared" ca="1" si="22"/>
        <v>175038.34789206539</v>
      </c>
      <c r="AN53" s="53">
        <v>5</v>
      </c>
      <c r="AO53" s="102">
        <f>VLOOKUP(AN53,AN26:AO52,2,FALSE)</f>
        <v>20000</v>
      </c>
      <c r="AQ53">
        <v>25</v>
      </c>
      <c r="AR53" s="17">
        <f t="shared" si="24"/>
        <v>-222.57159935315633</v>
      </c>
      <c r="AS53" s="17">
        <f t="shared" si="25"/>
        <v>-35</v>
      </c>
      <c r="AT53" s="17">
        <f>SUM(AR$53:$AR53)+SUM(AS$53:$AS53)</f>
        <v>-257.57159935315633</v>
      </c>
    </row>
    <row r="54" spans="24:46">
      <c r="AG54" s="21">
        <v>29</v>
      </c>
      <c r="AH54" s="2">
        <v>1</v>
      </c>
      <c r="AI54" t="s">
        <v>44</v>
      </c>
      <c r="AK54">
        <v>29</v>
      </c>
      <c r="AL54" s="5">
        <f t="shared" ca="1" si="23"/>
        <v>2043</v>
      </c>
      <c r="AM54" s="1">
        <f t="shared" ca="1" si="22"/>
        <v>176788.73137098603</v>
      </c>
      <c r="AO54" s="101">
        <f>MIN(AO53,V21)</f>
        <v>20000</v>
      </c>
      <c r="AQ54">
        <v>26</v>
      </c>
      <c r="AR54" s="17">
        <f t="shared" si="24"/>
        <v>-221.21793235091448</v>
      </c>
      <c r="AS54" s="17">
        <f t="shared" si="25"/>
        <v>-35</v>
      </c>
      <c r="AT54" s="17">
        <f>SUM(AR$53:$AR54)+SUM(AS$53:$AS54)</f>
        <v>-513.78953170407078</v>
      </c>
    </row>
    <row r="55" spans="24:46">
      <c r="AG55" s="21">
        <v>30</v>
      </c>
      <c r="AH55" s="2">
        <v>1</v>
      </c>
      <c r="AI55" t="s">
        <v>29</v>
      </c>
      <c r="AK55">
        <v>30</v>
      </c>
      <c r="AL55" s="5">
        <f t="shared" ca="1" si="23"/>
        <v>2044</v>
      </c>
      <c r="AM55" s="1">
        <f t="shared" ca="1" si="22"/>
        <v>178556.61868469589</v>
      </c>
      <c r="AQ55">
        <v>27</v>
      </c>
      <c r="AR55" s="17">
        <f t="shared" si="24"/>
        <v>-219.86180618695207</v>
      </c>
      <c r="AS55" s="17">
        <f t="shared" si="25"/>
        <v>-35</v>
      </c>
      <c r="AT55" s="17">
        <f>SUM(AR$53:$AR55)+SUM(AS$53:$AS55)</f>
        <v>-768.65133789102288</v>
      </c>
    </row>
    <row r="56" spans="24:46">
      <c r="AG56" s="21">
        <v>31</v>
      </c>
      <c r="AH56" s="2">
        <v>1</v>
      </c>
      <c r="AI56" t="s">
        <v>29</v>
      </c>
      <c r="AK56">
        <v>31</v>
      </c>
      <c r="AL56" s="5">
        <f t="shared" ca="1" si="23"/>
        <v>2045</v>
      </c>
      <c r="AM56" s="1">
        <f t="shared" ca="1" si="22"/>
        <v>180342.18487154285</v>
      </c>
      <c r="AQ56">
        <v>28</v>
      </c>
      <c r="AR56" s="17">
        <f t="shared" si="24"/>
        <v>-218.50321639379155</v>
      </c>
      <c r="AS56" s="17">
        <f t="shared" si="25"/>
        <v>-35</v>
      </c>
      <c r="AT56" s="17">
        <f>SUM(AR$53:$AR56)+SUM(AS$53:$AS56)</f>
        <v>-1022.1545542848144</v>
      </c>
    </row>
    <row r="57" spans="24:46">
      <c r="AG57" s="21">
        <v>32</v>
      </c>
      <c r="AH57" s="2">
        <v>1</v>
      </c>
      <c r="AI57" t="s">
        <v>29</v>
      </c>
      <c r="AL57" s="5"/>
      <c r="AQ57">
        <v>29</v>
      </c>
      <c r="AR57" s="17">
        <f t="shared" si="24"/>
        <v>-217.14215849584031</v>
      </c>
      <c r="AS57" s="17">
        <f t="shared" si="25"/>
        <v>-35</v>
      </c>
      <c r="AT57" s="17">
        <f>SUM(AR$53:$AR57)+SUM(AS$53:$AS57)</f>
        <v>-1274.2967127806546</v>
      </c>
    </row>
    <row r="58" spans="24:46">
      <c r="AG58" s="21">
        <v>33</v>
      </c>
      <c r="AH58" s="2">
        <v>1</v>
      </c>
      <c r="AI58" t="s">
        <v>29</v>
      </c>
      <c r="AL58" s="2"/>
      <c r="AQ58">
        <v>30</v>
      </c>
      <c r="AR58" s="17">
        <f t="shared" si="24"/>
        <v>-215.77862800937439</v>
      </c>
      <c r="AS58" s="17">
        <f t="shared" si="25"/>
        <v>-35</v>
      </c>
      <c r="AT58" s="17">
        <f>SUM(AR$53:$AR58)+SUM(AS$53:$AS58)</f>
        <v>-1525.075340790029</v>
      </c>
    </row>
    <row r="59" spans="24:46">
      <c r="AG59" s="21">
        <v>34</v>
      </c>
      <c r="AH59" s="2">
        <v>1</v>
      </c>
      <c r="AI59" t="s">
        <v>29</v>
      </c>
      <c r="AL59" s="5"/>
      <c r="AQ59">
        <v>31</v>
      </c>
      <c r="AR59" s="17">
        <f t="shared" si="24"/>
        <v>-214.41262044252454</v>
      </c>
      <c r="AS59" s="17">
        <f t="shared" si="25"/>
        <v>-35</v>
      </c>
      <c r="AT59" s="17">
        <f>SUM(AR$53:$AR59)+SUM(AS$53:$AS59)</f>
        <v>-1774.4879612325535</v>
      </c>
    </row>
    <row r="60" spans="24:46">
      <c r="AG60" s="21">
        <v>35</v>
      </c>
      <c r="AH60" s="2">
        <v>1</v>
      </c>
      <c r="AI60" t="s">
        <v>29</v>
      </c>
      <c r="AL60" s="2"/>
      <c r="AQ60">
        <v>32</v>
      </c>
      <c r="AR60" s="17">
        <f t="shared" si="24"/>
        <v>-213.04413129526182</v>
      </c>
      <c r="AS60" s="17">
        <f t="shared" si="25"/>
        <v>-35</v>
      </c>
      <c r="AT60" s="17">
        <f>SUM(AR$53:$AR60)+SUM(AS$53:$AS60)</f>
        <v>-2022.5320925278154</v>
      </c>
    </row>
    <row r="61" spans="24:46">
      <c r="AG61" s="21">
        <v>36</v>
      </c>
      <c r="AH61" s="2">
        <v>1</v>
      </c>
      <c r="AI61" t="s">
        <v>29</v>
      </c>
      <c r="AL61" s="5"/>
      <c r="AQ61">
        <v>33</v>
      </c>
      <c r="AR61" s="17">
        <f t="shared" si="24"/>
        <v>-211.67315605938163</v>
      </c>
      <c r="AS61" s="17">
        <f t="shared" si="25"/>
        <v>-35</v>
      </c>
      <c r="AT61" s="17">
        <f>SUM(AR$53:$AR61)+SUM(AS$53:$AS61)</f>
        <v>-2269.2052485871973</v>
      </c>
    </row>
    <row r="62" spans="24:46">
      <c r="AG62" s="21">
        <v>37</v>
      </c>
      <c r="AH62" s="2">
        <v>1</v>
      </c>
      <c r="AI62" t="s">
        <v>29</v>
      </c>
      <c r="AL62" s="2"/>
      <c r="AQ62">
        <v>34</v>
      </c>
      <c r="AR62" s="17">
        <f t="shared" si="24"/>
        <v>-210.29969021848945</v>
      </c>
      <c r="AS62" s="17">
        <f t="shared" si="25"/>
        <v>-35</v>
      </c>
      <c r="AT62" s="17">
        <f>SUM(AR$53:$AR62)+SUM(AS$53:$AS62)</f>
        <v>-2514.5049388056864</v>
      </c>
    </row>
    <row r="63" spans="24:46">
      <c r="AG63" s="21">
        <v>38</v>
      </c>
      <c r="AH63" s="2">
        <v>1</v>
      </c>
      <c r="AI63" t="s">
        <v>29</v>
      </c>
      <c r="AL63" s="5"/>
      <c r="AQ63">
        <v>35</v>
      </c>
      <c r="AR63" s="17">
        <f t="shared" si="24"/>
        <v>-208.92372924798644</v>
      </c>
      <c r="AS63" s="17">
        <f t="shared" si="25"/>
        <v>-35</v>
      </c>
      <c r="AT63" s="17">
        <f>SUM(AR$53:$AR63)+SUM(AS$53:$AS63)</f>
        <v>-2758.4286680536729</v>
      </c>
    </row>
    <row r="64" spans="24:46">
      <c r="AG64" s="21">
        <v>39</v>
      </c>
      <c r="AH64" s="2">
        <v>1</v>
      </c>
      <c r="AI64" t="s">
        <v>29</v>
      </c>
      <c r="AQ64">
        <v>36</v>
      </c>
      <c r="AR64" s="17">
        <f t="shared" si="24"/>
        <v>-207.5452686150534</v>
      </c>
      <c r="AS64" s="17">
        <f t="shared" si="25"/>
        <v>-35</v>
      </c>
      <c r="AT64" s="163">
        <f>SUM(AR$53:$AR64)+SUM(AS$53:$AS64)</f>
        <v>-3000.9739366687263</v>
      </c>
    </row>
    <row r="65" spans="33:46">
      <c r="AG65" s="21">
        <v>40</v>
      </c>
      <c r="AH65" s="2">
        <v>1</v>
      </c>
      <c r="AI65" t="s">
        <v>45</v>
      </c>
      <c r="AQ65">
        <v>37</v>
      </c>
      <c r="AR65" s="17">
        <f t="shared" si="24"/>
        <v>-206.16430377863747</v>
      </c>
      <c r="AS65" s="17">
        <f t="shared" si="25"/>
        <v>-35</v>
      </c>
      <c r="AT65" s="17">
        <f>SUM(AR$65:$AR65)+SUM(AS$65:$AS65)</f>
        <v>-241.16430377863747</v>
      </c>
    </row>
    <row r="66" spans="33:46">
      <c r="AG66" s="21">
        <v>41</v>
      </c>
      <c r="AH66" s="2">
        <v>1</v>
      </c>
      <c r="AI66" t="s">
        <v>45</v>
      </c>
      <c r="AQ66">
        <v>38</v>
      </c>
      <c r="AR66" s="17">
        <f t="shared" si="24"/>
        <v>-204.78083018943531</v>
      </c>
      <c r="AS66" s="17">
        <f t="shared" si="25"/>
        <v>-35</v>
      </c>
      <c r="AT66" s="17">
        <f>SUM(AR$65:$AR66)+SUM(AS$65:$AS66)</f>
        <v>-480.94513396807281</v>
      </c>
    </row>
    <row r="67" spans="33:46">
      <c r="AG67" s="21">
        <v>42</v>
      </c>
      <c r="AH67" s="2">
        <v>1</v>
      </c>
      <c r="AI67" t="s">
        <v>45</v>
      </c>
      <c r="AQ67">
        <v>39</v>
      </c>
      <c r="AR67" s="17">
        <f t="shared" si="24"/>
        <v>-203.39484328987925</v>
      </c>
      <c r="AS67" s="17">
        <f t="shared" si="25"/>
        <v>-35</v>
      </c>
      <c r="AT67" s="17">
        <f>SUM(AR$65:$AR67)+SUM(AS$65:$AS67)</f>
        <v>-719.33997725795211</v>
      </c>
    </row>
    <row r="68" spans="33:46">
      <c r="AG68" s="21">
        <v>43</v>
      </c>
      <c r="AH68" s="2">
        <v>1</v>
      </c>
      <c r="AI68" t="s">
        <v>45</v>
      </c>
      <c r="AQ68">
        <v>40</v>
      </c>
      <c r="AR68" s="17">
        <f t="shared" si="24"/>
        <v>-202.0063385141226</v>
      </c>
      <c r="AS68" s="17">
        <f t="shared" si="25"/>
        <v>-35</v>
      </c>
      <c r="AT68" s="17">
        <f>SUM(AR$65:$AR68)+SUM(AS$65:$AS68)</f>
        <v>-956.34631577207472</v>
      </c>
    </row>
    <row r="69" spans="33:46">
      <c r="AG69" s="21">
        <v>44</v>
      </c>
      <c r="AH69" s="2">
        <v>1</v>
      </c>
      <c r="AI69" t="s">
        <v>45</v>
      </c>
      <c r="AQ69">
        <v>41</v>
      </c>
      <c r="AR69" s="17">
        <f t="shared" si="24"/>
        <v>-200.61531128802321</v>
      </c>
      <c r="AS69" s="17">
        <f t="shared" si="25"/>
        <v>-35</v>
      </c>
      <c r="AT69" s="17">
        <f>SUM(AR$65:$AR69)+SUM(AS$65:$AS69)</f>
        <v>-1191.961627060098</v>
      </c>
    </row>
    <row r="70" spans="33:46">
      <c r="AG70" s="21">
        <v>45</v>
      </c>
      <c r="AH70" s="2">
        <v>2</v>
      </c>
      <c r="AI70" t="s">
        <v>45</v>
      </c>
      <c r="AQ70">
        <v>42</v>
      </c>
      <c r="AR70" s="17">
        <f t="shared" si="24"/>
        <v>-199.2217570291298</v>
      </c>
      <c r="AS70" s="17">
        <f t="shared" si="25"/>
        <v>-35</v>
      </c>
      <c r="AT70" s="17">
        <f>SUM(AR$65:$AR70)+SUM(AS$65:$AS70)</f>
        <v>-1426.1833840892277</v>
      </c>
    </row>
    <row r="71" spans="33:46">
      <c r="AG71" s="21">
        <v>46</v>
      </c>
      <c r="AH71" s="2">
        <v>2</v>
      </c>
      <c r="AI71" t="s">
        <v>45</v>
      </c>
      <c r="AQ71">
        <v>43</v>
      </c>
      <c r="AR71" s="17">
        <f t="shared" si="24"/>
        <v>-197.82567114666594</v>
      </c>
      <c r="AS71" s="17">
        <f t="shared" si="25"/>
        <v>-35</v>
      </c>
      <c r="AT71" s="17">
        <f>SUM(AR$65:$AR71)+SUM(AS$65:$AS71)</f>
        <v>-1659.0090552358936</v>
      </c>
    </row>
    <row r="72" spans="33:46">
      <c r="AG72" s="21">
        <v>47</v>
      </c>
      <c r="AH72" s="2">
        <v>2</v>
      </c>
      <c r="AI72" t="s">
        <v>45</v>
      </c>
      <c r="AQ72">
        <v>44</v>
      </c>
      <c r="AR72" s="17">
        <f t="shared" si="24"/>
        <v>-196.42704904151557</v>
      </c>
      <c r="AS72" s="17">
        <f t="shared" si="25"/>
        <v>-35</v>
      </c>
      <c r="AT72" s="17">
        <f>SUM(AR$65:$AR72)+SUM(AS$65:$AS72)</f>
        <v>-1890.4361042774092</v>
      </c>
    </row>
    <row r="73" spans="33:46">
      <c r="AG73" s="21">
        <v>48</v>
      </c>
      <c r="AH73" s="2">
        <v>2</v>
      </c>
      <c r="AI73" t="s">
        <v>45</v>
      </c>
      <c r="AQ73">
        <v>45</v>
      </c>
      <c r="AR73" s="17">
        <f t="shared" si="24"/>
        <v>-195.02588610620779</v>
      </c>
      <c r="AS73" s="17">
        <f t="shared" si="25"/>
        <v>-35</v>
      </c>
      <c r="AT73" s="17">
        <f>SUM(AR$65:$AR73)+SUM(AS$65:$AS73)</f>
        <v>-2120.4619903836169</v>
      </c>
    </row>
    <row r="74" spans="33:46">
      <c r="AG74" s="21">
        <v>49</v>
      </c>
      <c r="AH74" s="2">
        <v>2</v>
      </c>
      <c r="AI74" t="s">
        <v>45</v>
      </c>
      <c r="AQ74">
        <v>46</v>
      </c>
      <c r="AR74" s="17">
        <f t="shared" si="24"/>
        <v>-193.62217772490064</v>
      </c>
      <c r="AS74" s="17">
        <f t="shared" si="25"/>
        <v>-35</v>
      </c>
      <c r="AT74" s="17">
        <f>SUM(AR$65:$AR74)+SUM(AS$65:$AS74)</f>
        <v>-2349.0841681085176</v>
      </c>
    </row>
    <row r="75" spans="33:46">
      <c r="AG75" s="21">
        <v>50</v>
      </c>
      <c r="AH75" s="2">
        <v>2</v>
      </c>
      <c r="AI75" t="s">
        <v>45</v>
      </c>
      <c r="AQ75">
        <v>47</v>
      </c>
      <c r="AR75" s="17">
        <f t="shared" si="24"/>
        <v>-192.21591927336755</v>
      </c>
      <c r="AS75" s="17">
        <f t="shared" si="25"/>
        <v>-35</v>
      </c>
      <c r="AT75" s="17">
        <f>SUM(AR$65:$AR75)+SUM(AS$65:$AS75)</f>
        <v>-2576.3000873818851</v>
      </c>
    </row>
    <row r="76" spans="33:46">
      <c r="AG76" s="21">
        <v>51</v>
      </c>
      <c r="AH76" s="2">
        <v>2</v>
      </c>
      <c r="AI76" t="s">
        <v>45</v>
      </c>
      <c r="AQ76">
        <v>48</v>
      </c>
      <c r="AR76" s="17">
        <f t="shared" si="24"/>
        <v>-190.80710611898078</v>
      </c>
      <c r="AS76" s="17">
        <f t="shared" si="25"/>
        <v>-35</v>
      </c>
      <c r="AT76" s="163">
        <f>SUM(AR$65:$AR76)+SUM(AS$65:$AS76)</f>
        <v>-2802.1071935008658</v>
      </c>
    </row>
    <row r="77" spans="33:46">
      <c r="AG77" s="21">
        <v>52</v>
      </c>
      <c r="AH77" s="2">
        <v>2</v>
      </c>
      <c r="AI77" t="s">
        <v>45</v>
      </c>
      <c r="AQ77">
        <v>49</v>
      </c>
      <c r="AR77" s="17">
        <f t="shared" si="24"/>
        <v>-189.39573362069683</v>
      </c>
      <c r="AS77" s="17">
        <f t="shared" si="25"/>
        <v>-35</v>
      </c>
      <c r="AT77" s="17">
        <f>SUM(AR$77:$AR77)+SUM(AS$77:$AS77)</f>
        <v>-224.39573362069683</v>
      </c>
    </row>
    <row r="78" spans="33:46">
      <c r="AG78" s="21">
        <v>53</v>
      </c>
      <c r="AH78" s="2">
        <v>2</v>
      </c>
      <c r="AI78" t="s">
        <v>45</v>
      </c>
      <c r="AQ78">
        <v>50</v>
      </c>
      <c r="AR78" s="17">
        <f t="shared" si="24"/>
        <v>-187.98179712904115</v>
      </c>
      <c r="AS78" s="17">
        <f t="shared" si="25"/>
        <v>-35</v>
      </c>
      <c r="AT78" s="17">
        <f>SUM(AR$77:$AR78)+SUM(AS$77:$AS78)</f>
        <v>-447.37753074973796</v>
      </c>
    </row>
    <row r="79" spans="33:46">
      <c r="AG79" s="21">
        <v>54</v>
      </c>
      <c r="AH79" s="2">
        <v>2</v>
      </c>
      <c r="AI79" t="s">
        <v>45</v>
      </c>
      <c r="AQ79">
        <v>51</v>
      </c>
      <c r="AR79" s="17">
        <f t="shared" si="24"/>
        <v>-186.56529198609215</v>
      </c>
      <c r="AS79" s="17">
        <f t="shared" si="25"/>
        <v>-35</v>
      </c>
      <c r="AT79" s="17">
        <f>SUM(AR$77:$AR79)+SUM(AS$77:$AS79)</f>
        <v>-668.94282273583008</v>
      </c>
    </row>
    <row r="80" spans="33:46">
      <c r="AG80" s="21">
        <v>55</v>
      </c>
      <c r="AH80" s="2">
        <v>2</v>
      </c>
      <c r="AI80" t="s">
        <v>45</v>
      </c>
      <c r="AQ80">
        <v>52</v>
      </c>
      <c r="AR80" s="17">
        <f t="shared" si="24"/>
        <v>-185.14621352546661</v>
      </c>
      <c r="AS80" s="17">
        <f t="shared" si="25"/>
        <v>-35</v>
      </c>
      <c r="AT80" s="17">
        <f>SUM(AR$77:$AR80)+SUM(AS$77:$AS80)</f>
        <v>-889.08903626129666</v>
      </c>
    </row>
    <row r="81" spans="33:46">
      <c r="AG81" s="21">
        <v>56</v>
      </c>
      <c r="AH81" s="2">
        <v>2</v>
      </c>
      <c r="AI81" t="s">
        <v>13</v>
      </c>
      <c r="AQ81">
        <v>53</v>
      </c>
      <c r="AR81" s="17">
        <f t="shared" si="24"/>
        <v>-183.72455707230475</v>
      </c>
      <c r="AS81" s="17">
        <f t="shared" si="25"/>
        <v>-35</v>
      </c>
      <c r="AT81" s="17">
        <f>SUM(AR$77:$AR81)+SUM(AS$77:$AS81)</f>
        <v>-1107.8135933336014</v>
      </c>
    </row>
    <row r="82" spans="33:46">
      <c r="AG82" s="21">
        <v>57</v>
      </c>
      <c r="AH82" s="2">
        <v>2</v>
      </c>
      <c r="AI82" t="s">
        <v>13</v>
      </c>
      <c r="AQ82">
        <v>54</v>
      </c>
      <c r="AR82" s="17">
        <f t="shared" si="24"/>
        <v>-182.30031794325285</v>
      </c>
      <c r="AS82" s="17">
        <f t="shared" si="25"/>
        <v>-35</v>
      </c>
      <c r="AT82" s="17">
        <f>SUM(AR$77:$AR82)+SUM(AS$77:$AS82)</f>
        <v>-1325.1139112768542</v>
      </c>
    </row>
    <row r="83" spans="33:46">
      <c r="AG83" s="21">
        <v>58</v>
      </c>
      <c r="AH83" s="2">
        <v>2</v>
      </c>
      <c r="AI83" t="s">
        <v>13</v>
      </c>
      <c r="AQ83">
        <v>55</v>
      </c>
      <c r="AR83" s="17">
        <f t="shared" si="24"/>
        <v>-180.87349144644935</v>
      </c>
      <c r="AS83" s="17">
        <f t="shared" si="25"/>
        <v>-35</v>
      </c>
      <c r="AT83" s="17">
        <f>SUM(AR$77:$AR83)+SUM(AS$77:$AS83)</f>
        <v>-1540.9874027233036</v>
      </c>
    </row>
    <row r="84" spans="33:46">
      <c r="AG84" s="21">
        <v>59</v>
      </c>
      <c r="AH84" s="2">
        <v>2</v>
      </c>
      <c r="AI84" t="s">
        <v>13</v>
      </c>
      <c r="AQ84">
        <v>56</v>
      </c>
      <c r="AR84" s="17">
        <f t="shared" si="24"/>
        <v>-179.44407288151049</v>
      </c>
      <c r="AS84" s="17">
        <f t="shared" si="25"/>
        <v>-35</v>
      </c>
      <c r="AT84" s="17">
        <f>SUM(AR$77:$AR84)+SUM(AS$77:$AS84)</f>
        <v>-1755.4314756048141</v>
      </c>
    </row>
    <row r="85" spans="33:46">
      <c r="AG85" s="21">
        <v>60</v>
      </c>
      <c r="AH85" s="2">
        <v>2</v>
      </c>
      <c r="AI85" t="s">
        <v>13</v>
      </c>
      <c r="AQ85">
        <v>57</v>
      </c>
      <c r="AR85" s="17">
        <f t="shared" si="24"/>
        <v>-178.01205753951189</v>
      </c>
      <c r="AS85" s="17">
        <f t="shared" si="25"/>
        <v>-35</v>
      </c>
      <c r="AT85" s="17">
        <f>SUM(AR$77:$AR85)+SUM(AS$77:$AS85)</f>
        <v>-1968.443533144326</v>
      </c>
    </row>
    <row r="86" spans="33:46">
      <c r="AG86" s="21">
        <v>61</v>
      </c>
      <c r="AH86" s="2">
        <v>2</v>
      </c>
      <c r="AI86" t="s">
        <v>13</v>
      </c>
      <c r="AQ86">
        <v>58</v>
      </c>
      <c r="AR86" s="17">
        <f t="shared" si="24"/>
        <v>-176.57744070297531</v>
      </c>
      <c r="AS86" s="17">
        <f t="shared" si="25"/>
        <v>-35</v>
      </c>
      <c r="AT86" s="17">
        <f>SUM(AR$77:$AR86)+SUM(AS$77:$AS86)</f>
        <v>-2180.0209738473013</v>
      </c>
    </row>
    <row r="87" spans="33:46">
      <c r="AG87" s="21">
        <v>62</v>
      </c>
      <c r="AH87" s="2">
        <v>2</v>
      </c>
      <c r="AI87" t="s">
        <v>13</v>
      </c>
      <c r="AQ87">
        <v>59</v>
      </c>
      <c r="AR87" s="17">
        <f t="shared" si="24"/>
        <v>-175.14021764585235</v>
      </c>
      <c r="AS87" s="17">
        <f t="shared" si="25"/>
        <v>-35</v>
      </c>
      <c r="AT87" s="17">
        <f>SUM(AR$77:$AR87)+SUM(AS$77:$AS87)</f>
        <v>-2390.1611914931536</v>
      </c>
    </row>
    <row r="88" spans="33:46">
      <c r="AG88" s="21">
        <v>63</v>
      </c>
      <c r="AH88" s="2">
        <v>2</v>
      </c>
      <c r="AI88" t="s">
        <v>13</v>
      </c>
      <c r="AQ88">
        <v>60</v>
      </c>
      <c r="AR88" s="17">
        <f t="shared" si="24"/>
        <v>-173.70038363350884</v>
      </c>
      <c r="AS88" s="17">
        <f t="shared" si="25"/>
        <v>-35</v>
      </c>
      <c r="AT88" s="163">
        <f>SUM(AR$77:$AR88)+SUM(AS$77:$AS88)</f>
        <v>-2598.8615751266625</v>
      </c>
    </row>
    <row r="89" spans="33:46">
      <c r="AG89" s="21">
        <v>64</v>
      </c>
      <c r="AH89" s="2">
        <v>2</v>
      </c>
      <c r="AI89" t="s">
        <v>13</v>
      </c>
      <c r="AQ89">
        <v>61</v>
      </c>
      <c r="AR89" s="17">
        <f t="shared" si="24"/>
        <v>-172.25793392270978</v>
      </c>
      <c r="AS89" s="17">
        <f t="shared" si="25"/>
        <v>-35</v>
      </c>
      <c r="AT89" s="17">
        <f>SUM(AR$89:$AR89)+SUM(AS$89:$AS89)</f>
        <v>-207.25793392270978</v>
      </c>
    </row>
    <row r="90" spans="33:46">
      <c r="AG90" s="21">
        <v>65</v>
      </c>
      <c r="AH90" s="2">
        <v>2</v>
      </c>
      <c r="AI90" t="s">
        <v>13</v>
      </c>
      <c r="AQ90">
        <v>62</v>
      </c>
      <c r="AR90" s="17">
        <f t="shared" si="24"/>
        <v>-170.81286376160276</v>
      </c>
      <c r="AS90" s="17">
        <f t="shared" si="25"/>
        <v>-35</v>
      </c>
      <c r="AT90" s="17">
        <f>SUM(AR$89:$AR90)+SUM(AS$89:$AS90)</f>
        <v>-413.07079768431254</v>
      </c>
    </row>
    <row r="91" spans="33:46">
      <c r="AG91" s="21">
        <v>66</v>
      </c>
      <c r="AH91" s="2">
        <v>2</v>
      </c>
      <c r="AI91" t="s">
        <v>13</v>
      </c>
      <c r="AQ91">
        <v>63</v>
      </c>
      <c r="AR91" s="17">
        <f t="shared" si="24"/>
        <v>-169.36516838970277</v>
      </c>
      <c r="AS91" s="17">
        <f t="shared" si="25"/>
        <v>-35</v>
      </c>
      <c r="AT91" s="17">
        <f>SUM(AR$89:$AR91)+SUM(AS$89:$AS91)</f>
        <v>-617.43596607401537</v>
      </c>
    </row>
    <row r="92" spans="33:46">
      <c r="AG92" s="21">
        <v>67</v>
      </c>
      <c r="AH92" s="2">
        <v>2</v>
      </c>
      <c r="AI92" t="s">
        <v>13</v>
      </c>
      <c r="AQ92">
        <v>64</v>
      </c>
      <c r="AR92" s="17">
        <f t="shared" si="24"/>
        <v>-167.9148430378774</v>
      </c>
      <c r="AS92" s="17">
        <f t="shared" si="25"/>
        <v>-35</v>
      </c>
      <c r="AT92" s="17">
        <f>SUM(AR$89:$AR92)+SUM(AS$89:$AS92)</f>
        <v>-820.35080911189277</v>
      </c>
    </row>
    <row r="93" spans="33:46">
      <c r="AG93" s="21">
        <v>68</v>
      </c>
      <c r="AH93" s="2">
        <v>2</v>
      </c>
      <c r="AI93" t="s">
        <v>13</v>
      </c>
      <c r="AQ93">
        <v>65</v>
      </c>
      <c r="AR93" s="17">
        <f t="shared" ref="AR93:AR156" si="26">IPMT($E$22/12,AQ93,$V$36*12,$E$21)</f>
        <v>-166.46188292832966</v>
      </c>
      <c r="AS93" s="17">
        <f t="shared" si="25"/>
        <v>-35</v>
      </c>
      <c r="AT93" s="17">
        <f>SUM(AR$89:$AR93)+SUM(AS$89:$AS93)</f>
        <v>-1021.8126920402224</v>
      </c>
    </row>
    <row r="94" spans="33:46">
      <c r="AG94" s="21">
        <v>69</v>
      </c>
      <c r="AH94" s="2">
        <v>2</v>
      </c>
      <c r="AI94" t="s">
        <v>13</v>
      </c>
      <c r="AQ94">
        <v>66</v>
      </c>
      <c r="AR94" s="17">
        <f t="shared" si="26"/>
        <v>-165.00628327458276</v>
      </c>
      <c r="AS94" s="17">
        <f t="shared" ref="AS94:AS157" si="27">-$E$24</f>
        <v>-35</v>
      </c>
      <c r="AT94" s="17">
        <f>SUM(AR$89:$AR94)+SUM(AS$89:$AS94)</f>
        <v>-1221.8189753148051</v>
      </c>
    </row>
    <row r="95" spans="33:46">
      <c r="AG95" s="21">
        <v>70</v>
      </c>
      <c r="AH95" s="2">
        <v>2</v>
      </c>
      <c r="AI95" t="s">
        <v>14</v>
      </c>
      <c r="AQ95">
        <v>67</v>
      </c>
      <c r="AR95" s="17">
        <f t="shared" si="26"/>
        <v>-163.54803928146481</v>
      </c>
      <c r="AS95" s="17">
        <f t="shared" si="27"/>
        <v>-35</v>
      </c>
      <c r="AT95" s="17">
        <f>SUM(AR$89:$AR95)+SUM(AS$89:$AS95)</f>
        <v>-1420.3670145962699</v>
      </c>
    </row>
    <row r="96" spans="33:46">
      <c r="AG96" s="21">
        <v>71</v>
      </c>
      <c r="AH96" s="2">
        <v>2</v>
      </c>
      <c r="AI96" t="s">
        <v>14</v>
      </c>
      <c r="AQ96">
        <v>68</v>
      </c>
      <c r="AR96" s="17">
        <f t="shared" si="26"/>
        <v>-162.0871461450927</v>
      </c>
      <c r="AS96" s="17">
        <f t="shared" si="27"/>
        <v>-35</v>
      </c>
      <c r="AT96" s="17">
        <f>SUM(AR$89:$AR96)+SUM(AS$89:$AS96)</f>
        <v>-1617.4541607413626</v>
      </c>
    </row>
    <row r="97" spans="33:46">
      <c r="AG97" s="21">
        <v>72</v>
      </c>
      <c r="AH97" s="2">
        <v>2</v>
      </c>
      <c r="AI97" t="s">
        <v>14</v>
      </c>
      <c r="AQ97">
        <v>69</v>
      </c>
      <c r="AR97" s="17">
        <f t="shared" si="26"/>
        <v>-160.62359905285632</v>
      </c>
      <c r="AS97" s="17">
        <f t="shared" si="27"/>
        <v>-35</v>
      </c>
      <c r="AT97" s="17">
        <f>SUM(AR$89:$AR97)+SUM(AS$89:$AS97)</f>
        <v>-1813.0777597942188</v>
      </c>
    </row>
    <row r="98" spans="33:46">
      <c r="AG98" s="21">
        <v>73</v>
      </c>
      <c r="AH98" s="2">
        <v>2</v>
      </c>
      <c r="AI98" t="s">
        <v>14</v>
      </c>
      <c r="AQ98">
        <v>70</v>
      </c>
      <c r="AR98" s="17">
        <f t="shared" si="26"/>
        <v>-159.15739318340241</v>
      </c>
      <c r="AS98" s="17">
        <f t="shared" si="27"/>
        <v>-35</v>
      </c>
      <c r="AT98" s="17">
        <f>SUM(AR$89:$AR98)+SUM(AS$89:$AS98)</f>
        <v>-2007.2351529776211</v>
      </c>
    </row>
    <row r="99" spans="33:46">
      <c r="AG99" s="21">
        <v>74</v>
      </c>
      <c r="AH99" s="2">
        <v>2</v>
      </c>
      <c r="AI99" t="s">
        <v>14</v>
      </c>
      <c r="AQ99">
        <v>71</v>
      </c>
      <c r="AR99" s="17">
        <f t="shared" si="26"/>
        <v>-157.68852370661872</v>
      </c>
      <c r="AS99" s="17">
        <f t="shared" si="27"/>
        <v>-35</v>
      </c>
      <c r="AT99" s="17">
        <f>SUM(AR$89:$AR99)+SUM(AS$89:$AS99)</f>
        <v>-2199.9236766842396</v>
      </c>
    </row>
    <row r="100" spans="33:46">
      <c r="AG100" s="21">
        <v>75</v>
      </c>
      <c r="AH100" s="2">
        <v>2</v>
      </c>
      <c r="AI100" t="s">
        <v>14</v>
      </c>
      <c r="AQ100">
        <v>72</v>
      </c>
      <c r="AR100" s="17">
        <f t="shared" si="26"/>
        <v>-156.21698578361901</v>
      </c>
      <c r="AS100" s="17">
        <f t="shared" si="27"/>
        <v>-35</v>
      </c>
      <c r="AT100" s="163">
        <f>SUM(AR$89:$AR100)+SUM(AS$89:$AS100)</f>
        <v>-2391.1406624678589</v>
      </c>
    </row>
    <row r="101" spans="33:46">
      <c r="AG101" s="21">
        <v>76</v>
      </c>
      <c r="AH101" s="2">
        <v>3</v>
      </c>
      <c r="AI101" t="s">
        <v>14</v>
      </c>
      <c r="AQ101">
        <v>73</v>
      </c>
      <c r="AR101" s="17">
        <f t="shared" si="26"/>
        <v>-154.74277456672607</v>
      </c>
      <c r="AS101" s="17">
        <f t="shared" si="27"/>
        <v>-35</v>
      </c>
      <c r="AT101" s="17">
        <f>SUM(AR$101:$AR101)+SUM(AS$101:$AS101)</f>
        <v>-189.74277456672607</v>
      </c>
    </row>
    <row r="102" spans="33:46">
      <c r="AG102" s="21">
        <v>77</v>
      </c>
      <c r="AH102" s="2">
        <v>3</v>
      </c>
      <c r="AI102" t="s">
        <v>14</v>
      </c>
      <c r="AQ102">
        <v>74</v>
      </c>
      <c r="AR102" s="17">
        <f t="shared" si="26"/>
        <v>-153.26588519945548</v>
      </c>
      <c r="AS102" s="17">
        <f t="shared" si="27"/>
        <v>-35</v>
      </c>
      <c r="AT102" s="17">
        <f>SUM(AR$101:$AR102)+SUM(AS$101:$AS102)</f>
        <v>-378.00865976618155</v>
      </c>
    </row>
    <row r="103" spans="33:46">
      <c r="AG103" s="21">
        <v>78</v>
      </c>
      <c r="AH103" s="2">
        <v>3</v>
      </c>
      <c r="AI103" t="s">
        <v>14</v>
      </c>
      <c r="AQ103">
        <v>75</v>
      </c>
      <c r="AR103" s="17">
        <f t="shared" si="26"/>
        <v>-151.78631281650127</v>
      </c>
      <c r="AS103" s="17">
        <f t="shared" si="27"/>
        <v>-35</v>
      </c>
      <c r="AT103" s="17">
        <f>SUM(AR$101:$AR103)+SUM(AS$101:$AS103)</f>
        <v>-564.79497258268282</v>
      </c>
    </row>
    <row r="104" spans="33:46">
      <c r="AG104" s="21">
        <v>79</v>
      </c>
      <c r="AH104" s="2">
        <v>3</v>
      </c>
      <c r="AI104" t="s">
        <v>14</v>
      </c>
      <c r="AQ104">
        <v>76</v>
      </c>
      <c r="AR104" s="17">
        <f t="shared" si="26"/>
        <v>-150.30405254371772</v>
      </c>
      <c r="AS104" s="17">
        <f t="shared" si="27"/>
        <v>-35</v>
      </c>
      <c r="AT104" s="17">
        <f>SUM(AR$101:$AR104)+SUM(AS$101:$AS104)</f>
        <v>-750.09902512640053</v>
      </c>
    </row>
    <row r="105" spans="33:46">
      <c r="AG105" s="21">
        <v>80</v>
      </c>
      <c r="AH105" s="2">
        <v>3</v>
      </c>
      <c r="AI105" t="s">
        <v>14</v>
      </c>
      <c r="AQ105">
        <v>77</v>
      </c>
      <c r="AR105" s="17">
        <f t="shared" si="26"/>
        <v>-148.81909949810557</v>
      </c>
      <c r="AS105" s="17">
        <f t="shared" si="27"/>
        <v>-35</v>
      </c>
      <c r="AT105" s="17">
        <f>SUM(AR$101:$AR105)+SUM(AS$101:$AS105)</f>
        <v>-933.91812462450616</v>
      </c>
    </row>
    <row r="106" spans="33:46">
      <c r="AG106" s="21">
        <v>81</v>
      </c>
      <c r="AH106" s="2">
        <v>3</v>
      </c>
      <c r="AI106" t="s">
        <v>14</v>
      </c>
      <c r="AQ106">
        <v>78</v>
      </c>
      <c r="AR106" s="17">
        <f t="shared" si="26"/>
        <v>-147.3314487877937</v>
      </c>
      <c r="AS106" s="17">
        <f t="shared" si="27"/>
        <v>-35</v>
      </c>
      <c r="AT106" s="17">
        <f>SUM(AR$101:$AR106)+SUM(AS$101:$AS106)</f>
        <v>-1116.2495734122999</v>
      </c>
    </row>
    <row r="107" spans="33:46">
      <c r="AG107" s="21">
        <v>82</v>
      </c>
      <c r="AH107" s="2">
        <v>3</v>
      </c>
      <c r="AI107" t="s">
        <v>14</v>
      </c>
      <c r="AQ107">
        <v>79</v>
      </c>
      <c r="AR107" s="17">
        <f t="shared" si="26"/>
        <v>-145.84109551202476</v>
      </c>
      <c r="AS107" s="17">
        <f t="shared" si="27"/>
        <v>-35</v>
      </c>
      <c r="AT107" s="17">
        <f>SUM(AR$101:$AR107)+SUM(AS$101:$AS107)</f>
        <v>-1297.0906689243247</v>
      </c>
    </row>
    <row r="108" spans="33:46">
      <c r="AG108" s="21">
        <v>83</v>
      </c>
      <c r="AH108" s="2">
        <v>3</v>
      </c>
      <c r="AI108" t="s">
        <v>14</v>
      </c>
      <c r="AQ108">
        <v>80</v>
      </c>
      <c r="AR108" s="17">
        <f t="shared" si="26"/>
        <v>-144.34803476113822</v>
      </c>
      <c r="AS108" s="17">
        <f t="shared" si="27"/>
        <v>-35</v>
      </c>
      <c r="AT108" s="17">
        <f>SUM(AR$101:$AR108)+SUM(AS$101:$AS108)</f>
        <v>-1476.438703685463</v>
      </c>
    </row>
    <row r="109" spans="33:46">
      <c r="AG109" s="21">
        <v>84</v>
      </c>
      <c r="AH109" s="2">
        <v>3</v>
      </c>
      <c r="AI109" t="s">
        <v>14</v>
      </c>
      <c r="AQ109">
        <v>81</v>
      </c>
      <c r="AR109" s="17">
        <f t="shared" si="26"/>
        <v>-142.8522616165543</v>
      </c>
      <c r="AS109" s="17">
        <f t="shared" si="27"/>
        <v>-35</v>
      </c>
      <c r="AT109" s="17">
        <f>SUM(AR$101:$AR109)+SUM(AS$101:$AS109)</f>
        <v>-1654.2909653020174</v>
      </c>
    </row>
    <row r="110" spans="33:46">
      <c r="AG110" s="21">
        <v>85</v>
      </c>
      <c r="AH110" s="2">
        <v>3</v>
      </c>
      <c r="AI110" t="s">
        <v>15</v>
      </c>
      <c r="AQ110">
        <v>82</v>
      </c>
      <c r="AR110" s="17">
        <f t="shared" si="26"/>
        <v>-141.35377115075786</v>
      </c>
      <c r="AS110" s="17">
        <f t="shared" si="27"/>
        <v>-35</v>
      </c>
      <c r="AT110" s="17">
        <f>SUM(AR$101:$AR110)+SUM(AS$101:$AS110)</f>
        <v>-1830.6447364527753</v>
      </c>
    </row>
    <row r="111" spans="33:46">
      <c r="AG111" s="21">
        <v>86</v>
      </c>
      <c r="AH111" s="2">
        <v>3</v>
      </c>
      <c r="AI111" t="s">
        <v>15</v>
      </c>
      <c r="AQ111">
        <v>83</v>
      </c>
      <c r="AR111" s="17">
        <f t="shared" si="26"/>
        <v>-139.85255842728151</v>
      </c>
      <c r="AS111" s="17">
        <f t="shared" si="27"/>
        <v>-35</v>
      </c>
      <c r="AT111" s="17">
        <f>SUM(AR$101:$AR111)+SUM(AS$101:$AS111)</f>
        <v>-2005.4972948800569</v>
      </c>
    </row>
    <row r="112" spans="33:46">
      <c r="AG112" s="21">
        <v>87</v>
      </c>
      <c r="AH112" s="2">
        <v>3</v>
      </c>
      <c r="AI112" t="s">
        <v>15</v>
      </c>
      <c r="AQ112">
        <v>84</v>
      </c>
      <c r="AR112" s="17">
        <f t="shared" si="26"/>
        <v>-138.34861850069089</v>
      </c>
      <c r="AS112" s="17">
        <f t="shared" si="27"/>
        <v>-35</v>
      </c>
      <c r="AT112" s="163">
        <f>SUM(AR$101:$AR112)+SUM(AS$101:$AS112)</f>
        <v>-2178.8459133807478</v>
      </c>
    </row>
    <row r="113" spans="33:46">
      <c r="AG113" s="21">
        <v>88</v>
      </c>
      <c r="AH113" s="2">
        <v>3</v>
      </c>
      <c r="AI113" t="s">
        <v>15</v>
      </c>
      <c r="AQ113">
        <v>85</v>
      </c>
      <c r="AR113" s="17">
        <f t="shared" si="26"/>
        <v>-136.84194641656723</v>
      </c>
      <c r="AS113" s="17">
        <f t="shared" si="27"/>
        <v>-35</v>
      </c>
      <c r="AT113" s="17">
        <f>SUM(AR$113:$AR113)+SUM(AS$113:$AS113)</f>
        <v>-171.84194641656723</v>
      </c>
    </row>
    <row r="114" spans="33:46">
      <c r="AG114" s="21">
        <v>89</v>
      </c>
      <c r="AH114" s="2">
        <v>3</v>
      </c>
      <c r="AI114" t="s">
        <v>15</v>
      </c>
      <c r="AQ114">
        <v>86</v>
      </c>
      <c r="AR114" s="17">
        <f t="shared" si="26"/>
        <v>-135.33253721149075</v>
      </c>
      <c r="AS114" s="17">
        <f t="shared" si="27"/>
        <v>-35</v>
      </c>
      <c r="AT114" s="17">
        <f>SUM(AR$113:$AR114)+SUM(AS$113:$AS114)</f>
        <v>-342.17448362805794</v>
      </c>
    </row>
    <row r="115" spans="33:46">
      <c r="AG115" s="21">
        <v>90</v>
      </c>
      <c r="AH115" s="2">
        <v>3</v>
      </c>
      <c r="AI115" t="s">
        <v>15</v>
      </c>
      <c r="AQ115">
        <v>87</v>
      </c>
      <c r="AR115" s="17">
        <f t="shared" si="26"/>
        <v>-133.82038591302475</v>
      </c>
      <c r="AS115" s="17">
        <f t="shared" si="27"/>
        <v>-35</v>
      </c>
      <c r="AT115" s="17">
        <f>SUM(AR$113:$AR115)+SUM(AS$113:$AS115)</f>
        <v>-510.99486954108272</v>
      </c>
    </row>
    <row r="116" spans="33:46">
      <c r="AG116" s="21">
        <v>91</v>
      </c>
      <c r="AH116" s="2">
        <v>3</v>
      </c>
      <c r="AI116" t="s">
        <v>15</v>
      </c>
      <c r="AQ116">
        <v>88</v>
      </c>
      <c r="AR116" s="17">
        <f t="shared" si="26"/>
        <v>-132.3054875397001</v>
      </c>
      <c r="AS116" s="17">
        <f t="shared" si="27"/>
        <v>-35</v>
      </c>
      <c r="AT116" s="17">
        <f>SUM(AR$113:$AR116)+SUM(AS$113:$AS116)</f>
        <v>-678.30035708078276</v>
      </c>
    </row>
    <row r="117" spans="33:46">
      <c r="AG117" s="21">
        <v>92</v>
      </c>
      <c r="AH117" s="2">
        <v>3</v>
      </c>
      <c r="AI117" t="s">
        <v>15</v>
      </c>
      <c r="AQ117">
        <v>89</v>
      </c>
      <c r="AR117" s="17">
        <f t="shared" si="26"/>
        <v>-130.78783710099725</v>
      </c>
      <c r="AS117" s="17">
        <f t="shared" si="27"/>
        <v>-35</v>
      </c>
      <c r="AT117" s="17">
        <f>SUM(AR$113:$AR117)+SUM(AS$113:$AS117)</f>
        <v>-844.08819418177995</v>
      </c>
    </row>
    <row r="118" spans="33:46">
      <c r="AG118" s="21">
        <v>93</v>
      </c>
      <c r="AH118" s="2">
        <v>3</v>
      </c>
      <c r="AI118" t="s">
        <v>15</v>
      </c>
      <c r="AQ118">
        <v>90</v>
      </c>
      <c r="AR118" s="17">
        <f t="shared" si="26"/>
        <v>-129.2674295973307</v>
      </c>
      <c r="AS118" s="17">
        <f t="shared" si="27"/>
        <v>-35</v>
      </c>
      <c r="AT118" s="17">
        <f>SUM(AR$113:$AR118)+SUM(AS$113:$AS118)</f>
        <v>-1008.3556237791106</v>
      </c>
    </row>
    <row r="119" spans="33:46">
      <c r="AG119" s="21">
        <v>94</v>
      </c>
      <c r="AH119" s="2">
        <v>3</v>
      </c>
      <c r="AI119" t="s">
        <v>15</v>
      </c>
      <c r="AQ119">
        <v>91</v>
      </c>
      <c r="AR119" s="17">
        <f t="shared" si="26"/>
        <v>-127.7442600200325</v>
      </c>
      <c r="AS119" s="17">
        <f t="shared" si="27"/>
        <v>-35</v>
      </c>
      <c r="AT119" s="17">
        <f>SUM(AR$113:$AR119)+SUM(AS$113:$AS119)</f>
        <v>-1171.0998837991431</v>
      </c>
    </row>
    <row r="120" spans="33:46">
      <c r="AG120" s="21">
        <v>95</v>
      </c>
      <c r="AH120" s="2">
        <v>3</v>
      </c>
      <c r="AI120" t="s">
        <v>15</v>
      </c>
      <c r="AQ120">
        <v>92</v>
      </c>
      <c r="AR120" s="17">
        <f t="shared" si="26"/>
        <v>-126.2183233513354</v>
      </c>
      <c r="AS120" s="17">
        <f t="shared" si="27"/>
        <v>-35</v>
      </c>
      <c r="AT120" s="17">
        <f>SUM(AR$113:$AR120)+SUM(AS$113:$AS120)</f>
        <v>-1332.3182071504784</v>
      </c>
    </row>
    <row r="121" spans="33:46">
      <c r="AG121" s="21">
        <v>96</v>
      </c>
      <c r="AH121" s="2">
        <v>3</v>
      </c>
      <c r="AI121" t="s">
        <v>15</v>
      </c>
      <c r="AQ121">
        <v>93</v>
      </c>
      <c r="AR121" s="17">
        <f t="shared" si="26"/>
        <v>-124.68961456435703</v>
      </c>
      <c r="AS121" s="17">
        <f t="shared" si="27"/>
        <v>-35</v>
      </c>
      <c r="AT121" s="17">
        <f>SUM(AR$113:$AR121)+SUM(AS$113:$AS121)</f>
        <v>-1492.0078217148355</v>
      </c>
    </row>
    <row r="122" spans="33:46">
      <c r="AG122" s="21">
        <v>97</v>
      </c>
      <c r="AH122" s="2">
        <v>3</v>
      </c>
      <c r="AI122" t="s">
        <v>15</v>
      </c>
      <c r="AQ122">
        <v>94</v>
      </c>
      <c r="AR122" s="17">
        <f t="shared" si="26"/>
        <v>-123.15812862308222</v>
      </c>
      <c r="AS122" s="17">
        <f t="shared" si="27"/>
        <v>-35</v>
      </c>
      <c r="AT122" s="17">
        <f>SUM(AR$113:$AR122)+SUM(AS$113:$AS122)</f>
        <v>-1650.1659503379176</v>
      </c>
    </row>
    <row r="123" spans="33:46">
      <c r="AG123" s="21">
        <v>98</v>
      </c>
      <c r="AH123" s="2">
        <v>3</v>
      </c>
      <c r="AI123" t="s">
        <v>15</v>
      </c>
      <c r="AQ123">
        <v>95</v>
      </c>
      <c r="AR123" s="17">
        <f t="shared" si="26"/>
        <v>-121.62386048234742</v>
      </c>
      <c r="AS123" s="17">
        <f t="shared" si="27"/>
        <v>-35</v>
      </c>
      <c r="AT123" s="17">
        <f>SUM(AR$113:$AR123)+SUM(AS$113:$AS123)</f>
        <v>-1806.7898108202651</v>
      </c>
    </row>
    <row r="124" spans="33:46">
      <c r="AG124" s="21">
        <v>99</v>
      </c>
      <c r="AH124" s="2">
        <v>3</v>
      </c>
      <c r="AI124" t="s">
        <v>15</v>
      </c>
      <c r="AQ124">
        <v>96</v>
      </c>
      <c r="AR124" s="17">
        <f t="shared" si="26"/>
        <v>-120.08680508782371</v>
      </c>
      <c r="AS124" s="17">
        <f t="shared" si="27"/>
        <v>-35</v>
      </c>
      <c r="AT124" s="163">
        <f>SUM(AR$113:$AR124)+SUM(AS$113:$AS124)</f>
        <v>-1961.8766159080888</v>
      </c>
    </row>
    <row r="125" spans="33:46">
      <c r="AG125" s="21">
        <v>100</v>
      </c>
      <c r="AH125" s="2">
        <v>3</v>
      </c>
      <c r="AI125" t="s">
        <v>15</v>
      </c>
      <c r="AQ125">
        <v>97</v>
      </c>
      <c r="AR125" s="17">
        <f t="shared" si="26"/>
        <v>-118.54695737600004</v>
      </c>
      <c r="AS125" s="17">
        <f t="shared" si="27"/>
        <v>-35</v>
      </c>
      <c r="AT125" s="17">
        <f>SUM(AR$125:$AR125)+SUM(AS$125:$AS125)</f>
        <v>-153.54695737600002</v>
      </c>
    </row>
    <row r="126" spans="33:46">
      <c r="AG126" s="21">
        <v>101</v>
      </c>
      <c r="AH126" s="2">
        <v>3</v>
      </c>
      <c r="AI126" t="s">
        <v>15</v>
      </c>
      <c r="AQ126">
        <v>98</v>
      </c>
      <c r="AR126" s="17">
        <f t="shared" si="26"/>
        <v>-117.00431227416638</v>
      </c>
      <c r="AS126" s="17">
        <f t="shared" si="27"/>
        <v>-35</v>
      </c>
      <c r="AT126" s="17">
        <f>SUM(AR$125:$AR126)+SUM(AS$125:$AS126)</f>
        <v>-305.55126965016643</v>
      </c>
    </row>
    <row r="127" spans="33:46">
      <c r="AG127" s="21">
        <v>102</v>
      </c>
      <c r="AH127" s="2">
        <v>3</v>
      </c>
      <c r="AI127" t="s">
        <v>15</v>
      </c>
      <c r="AQ127">
        <v>99</v>
      </c>
      <c r="AR127" s="17">
        <f t="shared" si="26"/>
        <v>-115.4588647003978</v>
      </c>
      <c r="AS127" s="17">
        <f t="shared" si="27"/>
        <v>-35</v>
      </c>
      <c r="AT127" s="17">
        <f>SUM(AR$125:$AR127)+SUM(AS$125:$AS127)</f>
        <v>-456.01013435056421</v>
      </c>
    </row>
    <row r="128" spans="33:46">
      <c r="AG128" s="21">
        <v>103</v>
      </c>
      <c r="AH128" s="2">
        <v>3</v>
      </c>
      <c r="AI128" t="s">
        <v>15</v>
      </c>
      <c r="AQ128">
        <v>100</v>
      </c>
      <c r="AR128" s="17">
        <f t="shared" si="26"/>
        <v>-113.91060956353678</v>
      </c>
      <c r="AS128" s="17">
        <f t="shared" si="27"/>
        <v>-35</v>
      </c>
      <c r="AT128" s="17">
        <f>SUM(AR$125:$AR128)+SUM(AS$125:$AS128)</f>
        <v>-604.92074391410097</v>
      </c>
    </row>
    <row r="129" spans="33:46">
      <c r="AG129" s="21">
        <v>104</v>
      </c>
      <c r="AH129" s="2">
        <v>3</v>
      </c>
      <c r="AI129" t="s">
        <v>15</v>
      </c>
      <c r="AQ129">
        <v>101</v>
      </c>
      <c r="AR129" s="17">
        <f t="shared" si="26"/>
        <v>-112.35954176317716</v>
      </c>
      <c r="AS129" s="17">
        <f t="shared" si="27"/>
        <v>-35</v>
      </c>
      <c r="AT129" s="17">
        <f>SUM(AR$125:$AR129)+SUM(AS$125:$AS129)</f>
        <v>-752.28028567727813</v>
      </c>
    </row>
    <row r="130" spans="33:46">
      <c r="AG130" s="21">
        <v>105</v>
      </c>
      <c r="AH130" s="2">
        <v>3</v>
      </c>
      <c r="AI130" t="s">
        <v>15</v>
      </c>
      <c r="AQ130">
        <v>102</v>
      </c>
      <c r="AR130" s="17">
        <f t="shared" si="26"/>
        <v>-110.80565618964698</v>
      </c>
      <c r="AS130" s="17">
        <f t="shared" si="27"/>
        <v>-35</v>
      </c>
      <c r="AT130" s="17">
        <f>SUM(AR$125:$AR130)+SUM(AS$125:$AS130)</f>
        <v>-898.08594186692517</v>
      </c>
    </row>
    <row r="131" spans="33:46">
      <c r="AG131" s="21">
        <v>106</v>
      </c>
      <c r="AH131" s="2">
        <v>3</v>
      </c>
      <c r="AI131" t="s">
        <v>15</v>
      </c>
      <c r="AQ131">
        <v>103</v>
      </c>
      <c r="AR131" s="17">
        <f t="shared" si="26"/>
        <v>-109.24894772399132</v>
      </c>
      <c r="AS131" s="17">
        <f t="shared" si="27"/>
        <v>-35</v>
      </c>
      <c r="AT131" s="17">
        <f>SUM(AR$125:$AR131)+SUM(AS$125:$AS131)</f>
        <v>-1042.3348895909166</v>
      </c>
    </row>
    <row r="132" spans="33:46">
      <c r="AG132" s="21">
        <v>107</v>
      </c>
      <c r="AH132" s="2">
        <v>3</v>
      </c>
      <c r="AI132" t="s">
        <v>15</v>
      </c>
      <c r="AQ132">
        <v>104</v>
      </c>
      <c r="AR132" s="17">
        <f t="shared" si="26"/>
        <v>-107.68941123795662</v>
      </c>
      <c r="AS132" s="17">
        <f t="shared" si="27"/>
        <v>-35</v>
      </c>
      <c r="AT132" s="17">
        <f>SUM(AR$125:$AR132)+SUM(AS$125:$AS132)</f>
        <v>-1185.024300828873</v>
      </c>
    </row>
    <row r="133" spans="33:46">
      <c r="AG133" s="21">
        <v>108</v>
      </c>
      <c r="AH133" s="2">
        <v>3</v>
      </c>
      <c r="AI133" t="s">
        <v>15</v>
      </c>
      <c r="AQ133">
        <v>105</v>
      </c>
      <c r="AR133" s="17">
        <f t="shared" si="26"/>
        <v>-106.12704159397219</v>
      </c>
      <c r="AS133" s="17">
        <f t="shared" si="27"/>
        <v>-35</v>
      </c>
      <c r="AT133" s="17">
        <f>SUM(AR$125:$AR133)+SUM(AS$125:$AS133)</f>
        <v>-1326.1513424228453</v>
      </c>
    </row>
    <row r="134" spans="33:46">
      <c r="AG134" s="21">
        <v>109</v>
      </c>
      <c r="AH134" s="2">
        <v>3</v>
      </c>
      <c r="AI134" t="s">
        <v>15</v>
      </c>
      <c r="AQ134">
        <v>106</v>
      </c>
      <c r="AR134" s="17">
        <f t="shared" si="26"/>
        <v>-104.56183364513468</v>
      </c>
      <c r="AS134" s="17">
        <f t="shared" si="27"/>
        <v>-35</v>
      </c>
      <c r="AT134" s="17">
        <f>SUM(AR$125:$AR134)+SUM(AS$125:$AS134)</f>
        <v>-1465.7131760679799</v>
      </c>
    </row>
    <row r="135" spans="33:46">
      <c r="AG135" s="21">
        <v>110</v>
      </c>
      <c r="AH135" s="2">
        <v>3</v>
      </c>
      <c r="AI135" t="s">
        <v>15</v>
      </c>
      <c r="AQ135">
        <v>107</v>
      </c>
      <c r="AR135" s="17">
        <f t="shared" si="26"/>
        <v>-102.99378223518984</v>
      </c>
      <c r="AS135" s="17">
        <f t="shared" si="27"/>
        <v>-35</v>
      </c>
      <c r="AT135" s="17">
        <f>SUM(AR$125:$AR135)+SUM(AS$125:$AS135)</f>
        <v>-1603.7069583031698</v>
      </c>
    </row>
    <row r="136" spans="33:46">
      <c r="AG136" s="21">
        <v>111</v>
      </c>
      <c r="AH136" s="2">
        <v>4</v>
      </c>
      <c r="AI136" t="s">
        <v>15</v>
      </c>
      <c r="AQ136">
        <v>108</v>
      </c>
      <c r="AR136" s="17">
        <f t="shared" si="26"/>
        <v>-101.42288219851697</v>
      </c>
      <c r="AS136" s="17">
        <f t="shared" si="27"/>
        <v>-35</v>
      </c>
      <c r="AT136" s="163">
        <f>SUM(AR$125:$AR136)+SUM(AS$125:$AS136)</f>
        <v>-1740.1298405016869</v>
      </c>
    </row>
    <row r="137" spans="33:46">
      <c r="AG137" s="21">
        <v>112</v>
      </c>
      <c r="AH137" s="2">
        <v>4</v>
      </c>
      <c r="AI137" t="s">
        <v>15</v>
      </c>
      <c r="AQ137">
        <v>109</v>
      </c>
      <c r="AR137" s="17">
        <f t="shared" si="26"/>
        <v>-99.849128360111052</v>
      </c>
      <c r="AS137" s="17">
        <f t="shared" si="27"/>
        <v>-35</v>
      </c>
      <c r="AT137" s="17">
        <f>SUM(AR$137:$AR137)+SUM(AS$137:$AS137)</f>
        <v>-134.84912836011105</v>
      </c>
    </row>
    <row r="138" spans="33:46">
      <c r="AG138" s="21">
        <v>113</v>
      </c>
      <c r="AH138" s="2">
        <v>4</v>
      </c>
      <c r="AI138" t="s">
        <v>15</v>
      </c>
      <c r="AQ138">
        <v>110</v>
      </c>
      <c r="AR138" s="17">
        <f t="shared" si="26"/>
        <v>-98.272515535565205</v>
      </c>
      <c r="AS138" s="17">
        <f t="shared" si="27"/>
        <v>-35</v>
      </c>
      <c r="AT138" s="17">
        <f>SUM(AR$137:$AR138)+SUM(AS$137:$AS138)</f>
        <v>-268.12164389567624</v>
      </c>
    </row>
    <row r="139" spans="33:46">
      <c r="AG139" s="21">
        <v>114</v>
      </c>
      <c r="AH139" s="2">
        <v>4</v>
      </c>
      <c r="AI139" t="s">
        <v>15</v>
      </c>
      <c r="AQ139">
        <v>111</v>
      </c>
      <c r="AR139" s="17">
        <f t="shared" si="26"/>
        <v>-96.693038531054825</v>
      </c>
      <c r="AS139" s="17">
        <f t="shared" si="27"/>
        <v>-35</v>
      </c>
      <c r="AT139" s="17">
        <f>SUM(AR$137:$AR139)+SUM(AS$137:$AS139)</f>
        <v>-399.81468242673105</v>
      </c>
    </row>
    <row r="140" spans="33:46">
      <c r="AG140" s="21">
        <v>115</v>
      </c>
      <c r="AH140" s="2">
        <v>4</v>
      </c>
      <c r="AI140" t="s">
        <v>15</v>
      </c>
      <c r="AQ140">
        <v>112</v>
      </c>
      <c r="AR140" s="17">
        <f t="shared" si="26"/>
        <v>-95.110692143319568</v>
      </c>
      <c r="AS140" s="17">
        <f t="shared" si="27"/>
        <v>-35</v>
      </c>
      <c r="AT140" s="17">
        <f>SUM(AR$137:$AR140)+SUM(AS$137:$AS140)</f>
        <v>-529.92537457005062</v>
      </c>
    </row>
    <row r="141" spans="33:46">
      <c r="AG141" s="21">
        <v>116</v>
      </c>
      <c r="AH141" s="2">
        <v>4</v>
      </c>
      <c r="AI141" t="s">
        <v>15</v>
      </c>
      <c r="AQ141">
        <v>113</v>
      </c>
      <c r="AR141" s="17">
        <f t="shared" si="26"/>
        <v>-93.525471159646358</v>
      </c>
      <c r="AS141" s="17">
        <f t="shared" si="27"/>
        <v>-35</v>
      </c>
      <c r="AT141" s="17">
        <f>SUM(AR$137:$AR141)+SUM(AS$137:$AS141)</f>
        <v>-658.45084572969699</v>
      </c>
    </row>
    <row r="142" spans="33:46">
      <c r="AG142" s="21">
        <v>117</v>
      </c>
      <c r="AH142" s="2">
        <v>4</v>
      </c>
      <c r="AI142" t="s">
        <v>15</v>
      </c>
      <c r="AQ142">
        <v>114</v>
      </c>
      <c r="AR142" s="17">
        <f t="shared" si="26"/>
        <v>-91.93737035785324</v>
      </c>
      <c r="AS142" s="17">
        <f t="shared" si="27"/>
        <v>-35</v>
      </c>
      <c r="AT142" s="17">
        <f>SUM(AR$137:$AR142)+SUM(AS$137:$AS142)</f>
        <v>-785.38821608755029</v>
      </c>
    </row>
    <row r="143" spans="33:46">
      <c r="AG143" s="21">
        <v>118</v>
      </c>
      <c r="AH143" s="2">
        <v>4</v>
      </c>
      <c r="AI143" t="s">
        <v>15</v>
      </c>
      <c r="AQ143">
        <v>115</v>
      </c>
      <c r="AR143" s="17">
        <f t="shared" si="26"/>
        <v>-90.346384506269985</v>
      </c>
      <c r="AS143" s="17">
        <f t="shared" si="27"/>
        <v>-35</v>
      </c>
      <c r="AT143" s="17">
        <f>SUM(AR$137:$AR143)+SUM(AS$137:$AS143)</f>
        <v>-910.73460059382023</v>
      </c>
    </row>
    <row r="144" spans="33:46">
      <c r="AG144" s="21">
        <v>119</v>
      </c>
      <c r="AH144" s="2">
        <v>4</v>
      </c>
      <c r="AI144" t="s">
        <v>15</v>
      </c>
      <c r="AQ144">
        <v>116</v>
      </c>
      <c r="AR144" s="17">
        <f t="shared" si="26"/>
        <v>-88.752508363722711</v>
      </c>
      <c r="AS144" s="17">
        <f t="shared" si="27"/>
        <v>-35</v>
      </c>
      <c r="AT144" s="17">
        <f>SUM(AR$137:$AR144)+SUM(AS$137:$AS144)</f>
        <v>-1034.4871089575429</v>
      </c>
    </row>
    <row r="145" spans="33:46">
      <c r="AG145" s="21">
        <v>120</v>
      </c>
      <c r="AH145" s="2">
        <v>4</v>
      </c>
      <c r="AI145" t="s">
        <v>16</v>
      </c>
      <c r="AQ145">
        <v>117</v>
      </c>
      <c r="AR145" s="17">
        <f t="shared" si="26"/>
        <v>-87.155736679516977</v>
      </c>
      <c r="AS145" s="17">
        <f t="shared" si="27"/>
        <v>-35</v>
      </c>
      <c r="AT145" s="17">
        <f>SUM(AR$137:$AR145)+SUM(AS$137:$AS145)</f>
        <v>-1156.64284563706</v>
      </c>
    </row>
    <row r="146" spans="33:46">
      <c r="AG146" s="21">
        <v>121</v>
      </c>
      <c r="AH146" s="2">
        <v>4</v>
      </c>
      <c r="AI146" t="s">
        <v>16</v>
      </c>
      <c r="AQ146">
        <v>118</v>
      </c>
      <c r="AR146" s="17">
        <f t="shared" si="26"/>
        <v>-85.55606419341828</v>
      </c>
      <c r="AS146" s="17">
        <f t="shared" si="27"/>
        <v>-35</v>
      </c>
      <c r="AT146" s="17">
        <f>SUM(AR$137:$AR146)+SUM(AS$137:$AS146)</f>
        <v>-1277.198909830478</v>
      </c>
    </row>
    <row r="147" spans="33:46">
      <c r="AG147" s="21">
        <v>122</v>
      </c>
      <c r="AH147" s="2">
        <v>4</v>
      </c>
      <c r="AI147" t="s">
        <v>16</v>
      </c>
      <c r="AQ147">
        <v>119</v>
      </c>
      <c r="AR147" s="17">
        <f t="shared" si="26"/>
        <v>-83.953485635635872</v>
      </c>
      <c r="AS147" s="17">
        <f t="shared" si="27"/>
        <v>-35</v>
      </c>
      <c r="AT147" s="17">
        <f>SUM(AR$137:$AR147)+SUM(AS$137:$AS147)</f>
        <v>-1396.1523954661138</v>
      </c>
    </row>
    <row r="148" spans="33:46">
      <c r="AG148" s="21">
        <v>123</v>
      </c>
      <c r="AH148" s="2">
        <v>4</v>
      </c>
      <c r="AI148" t="s">
        <v>16</v>
      </c>
      <c r="AQ148">
        <v>120</v>
      </c>
      <c r="AR148" s="17">
        <f t="shared" si="26"/>
        <v>-82.347995726807326</v>
      </c>
      <c r="AS148" s="17">
        <f t="shared" si="27"/>
        <v>-35</v>
      </c>
      <c r="AT148" s="163">
        <f>SUM(AR$137:$AR148)+SUM(AS$137:$AS148)</f>
        <v>-1513.5003911929214</v>
      </c>
    </row>
    <row r="149" spans="33:46">
      <c r="AG149" s="21">
        <v>124</v>
      </c>
      <c r="AH149" s="2">
        <v>4</v>
      </c>
      <c r="AI149" t="s">
        <v>16</v>
      </c>
      <c r="AQ149">
        <v>121</v>
      </c>
      <c r="AR149" s="17">
        <f t="shared" si="26"/>
        <v>-80.739589177977678</v>
      </c>
      <c r="AS149" s="17">
        <f t="shared" si="27"/>
        <v>-35</v>
      </c>
      <c r="AT149" s="17">
        <f>SUM(AR$149:$AR149)+SUM(AS$149:$AS149)</f>
        <v>-115.73958917797768</v>
      </c>
    </row>
    <row r="150" spans="33:46">
      <c r="AG150" s="21">
        <v>125</v>
      </c>
      <c r="AH150" s="2">
        <v>4</v>
      </c>
      <c r="AI150" t="s">
        <v>16</v>
      </c>
      <c r="AQ150">
        <v>122</v>
      </c>
      <c r="AR150" s="17">
        <f t="shared" si="26"/>
        <v>-79.128260690584455</v>
      </c>
      <c r="AS150" s="17">
        <f t="shared" si="27"/>
        <v>-35</v>
      </c>
      <c r="AT150" s="17">
        <f>SUM(AR$149:$AR150)+SUM(AS$149:$AS150)</f>
        <v>-229.86784986856213</v>
      </c>
    </row>
    <row r="151" spans="33:46">
      <c r="AG151" s="21">
        <v>126</v>
      </c>
      <c r="AH151" s="2">
        <v>4</v>
      </c>
      <c r="AI151" t="s">
        <v>16</v>
      </c>
      <c r="AQ151">
        <v>123</v>
      </c>
      <c r="AR151" s="17">
        <f t="shared" si="26"/>
        <v>-77.514004956438882</v>
      </c>
      <c r="AS151" s="17">
        <f t="shared" si="27"/>
        <v>-35</v>
      </c>
      <c r="AT151" s="17">
        <f>SUM(AR$149:$AR151)+SUM(AS$149:$AS151)</f>
        <v>-342.38185482500103</v>
      </c>
    </row>
    <row r="152" spans="33:46">
      <c r="AG152" s="21">
        <v>127</v>
      </c>
      <c r="AH152" s="2">
        <v>4</v>
      </c>
      <c r="AI152" t="s">
        <v>16</v>
      </c>
      <c r="AQ152">
        <v>124</v>
      </c>
      <c r="AR152" s="17">
        <f t="shared" si="26"/>
        <v>-75.89681665770965</v>
      </c>
      <c r="AS152" s="17">
        <f t="shared" si="27"/>
        <v>-35</v>
      </c>
      <c r="AT152" s="17">
        <f>SUM(AR$149:$AR152)+SUM(AS$149:$AS152)</f>
        <v>-453.27867148271071</v>
      </c>
    </row>
    <row r="153" spans="33:46">
      <c r="AG153" s="21">
        <v>128</v>
      </c>
      <c r="AH153" s="2">
        <v>4</v>
      </c>
      <c r="AI153" t="s">
        <v>16</v>
      </c>
      <c r="AQ153">
        <v>125</v>
      </c>
      <c r="AR153" s="17">
        <f t="shared" si="26"/>
        <v>-74.276690466904569</v>
      </c>
      <c r="AS153" s="17">
        <f t="shared" si="27"/>
        <v>-35</v>
      </c>
      <c r="AT153" s="17">
        <f>SUM(AR$149:$AR153)+SUM(AS$149:$AS153)</f>
        <v>-562.5553619496153</v>
      </c>
    </row>
    <row r="154" spans="33:46">
      <c r="AG154" s="21">
        <v>129</v>
      </c>
      <c r="AH154" s="2">
        <v>4</v>
      </c>
      <c r="AI154" t="s">
        <v>16</v>
      </c>
      <c r="AQ154">
        <v>126</v>
      </c>
      <c r="AR154" s="17">
        <f t="shared" si="26"/>
        <v>-72.653621046852862</v>
      </c>
      <c r="AS154" s="17">
        <f t="shared" si="27"/>
        <v>-35</v>
      </c>
      <c r="AT154" s="17">
        <f>SUM(AR$149:$AR154)+SUM(AS$149:$AS154)</f>
        <v>-670.20898299646819</v>
      </c>
    </row>
    <row r="155" spans="33:46">
      <c r="AG155" s="21">
        <v>130</v>
      </c>
      <c r="AH155" s="2">
        <v>5</v>
      </c>
      <c r="AI155" t="s">
        <v>16</v>
      </c>
      <c r="AQ155">
        <v>127</v>
      </c>
      <c r="AR155" s="17">
        <f t="shared" si="26"/>
        <v>-71.027603050687702</v>
      </c>
      <c r="AS155" s="17">
        <f t="shared" si="27"/>
        <v>-35</v>
      </c>
      <c r="AT155" s="17">
        <f>SUM(AR$149:$AR155)+SUM(AS$149:$AS155)</f>
        <v>-776.23658604715592</v>
      </c>
    </row>
    <row r="156" spans="33:46">
      <c r="AG156" s="21">
        <v>131</v>
      </c>
      <c r="AH156" s="2">
        <v>5</v>
      </c>
      <c r="AI156" t="s">
        <v>16</v>
      </c>
      <c r="AQ156">
        <v>128</v>
      </c>
      <c r="AR156" s="17">
        <f t="shared" si="26"/>
        <v>-69.398631121829922</v>
      </c>
      <c r="AS156" s="17">
        <f t="shared" si="27"/>
        <v>-35</v>
      </c>
      <c r="AT156" s="17">
        <f>SUM(AR$149:$AR156)+SUM(AS$149:$AS156)</f>
        <v>-880.63521716898583</v>
      </c>
    </row>
    <row r="157" spans="33:46">
      <c r="AG157" s="21">
        <v>132</v>
      </c>
      <c r="AH157" s="2">
        <v>5</v>
      </c>
      <c r="AI157" t="s">
        <v>16</v>
      </c>
      <c r="AQ157">
        <v>129</v>
      </c>
      <c r="AR157" s="17">
        <f t="shared" ref="AR157:AR220" si="28">IPMT($E$22/12,AQ157,$V$36*12,$E$21)</f>
        <v>-67.76669989396791</v>
      </c>
      <c r="AS157" s="17">
        <f t="shared" si="27"/>
        <v>-35</v>
      </c>
      <c r="AT157" s="17">
        <f>SUM(AR$149:$AR157)+SUM(AS$149:$AS157)</f>
        <v>-983.40191706295377</v>
      </c>
    </row>
    <row r="158" spans="33:46">
      <c r="AG158" s="21">
        <v>133</v>
      </c>
      <c r="AH158" s="2">
        <v>5</v>
      </c>
      <c r="AI158" t="s">
        <v>16</v>
      </c>
      <c r="AQ158">
        <v>130</v>
      </c>
      <c r="AR158" s="17">
        <f t="shared" si="28"/>
        <v>-66.131803991041849</v>
      </c>
      <c r="AS158" s="17">
        <f t="shared" ref="AS158:AS221" si="29">-$E$24</f>
        <v>-35</v>
      </c>
      <c r="AT158" s="17">
        <f>SUM(AR$149:$AR158)+SUM(AS$149:$AS158)</f>
        <v>-1084.5337210539956</v>
      </c>
    </row>
    <row r="159" spans="33:46">
      <c r="AG159" s="21">
        <v>134</v>
      </c>
      <c r="AH159" s="2">
        <v>5</v>
      </c>
      <c r="AI159" t="s">
        <v>16</v>
      </c>
      <c r="AQ159">
        <v>131</v>
      </c>
      <c r="AR159" s="17">
        <f t="shared" si="28"/>
        <v>-64.493938027225582</v>
      </c>
      <c r="AS159" s="17">
        <f t="shared" si="29"/>
        <v>-35</v>
      </c>
      <c r="AT159" s="17">
        <f>SUM(AR$149:$AR159)+SUM(AS$149:$AS159)</f>
        <v>-1184.0276590812211</v>
      </c>
    </row>
    <row r="160" spans="33:46">
      <c r="AG160" s="21">
        <v>135</v>
      </c>
      <c r="AH160" s="2">
        <v>5</v>
      </c>
      <c r="AI160" t="s">
        <v>16</v>
      </c>
      <c r="AQ160">
        <v>132</v>
      </c>
      <c r="AR160" s="17">
        <f t="shared" si="28"/>
        <v>-62.853096606908323</v>
      </c>
      <c r="AS160" s="17">
        <f t="shared" si="29"/>
        <v>-35</v>
      </c>
      <c r="AT160" s="163">
        <f>SUM(AR$149:$AR160)+SUM(AS$149:$AS160)</f>
        <v>-1281.8807556881295</v>
      </c>
    </row>
    <row r="161" spans="33:46">
      <c r="AG161" s="21">
        <v>136</v>
      </c>
      <c r="AH161" s="2">
        <v>5</v>
      </c>
      <c r="AI161" t="s">
        <v>16</v>
      </c>
      <c r="AQ161">
        <v>133</v>
      </c>
      <c r="AR161" s="17">
        <f t="shared" si="28"/>
        <v>-61.209274324677558</v>
      </c>
      <c r="AS161" s="17">
        <f t="shared" si="29"/>
        <v>-35</v>
      </c>
      <c r="AT161" s="17">
        <f>SUM(AR$161:$AR161)+SUM(AS$161:$AS161)</f>
        <v>-96.209274324677551</v>
      </c>
    </row>
    <row r="162" spans="33:46">
      <c r="AG162" s="21">
        <v>137</v>
      </c>
      <c r="AH162" s="2">
        <v>5</v>
      </c>
      <c r="AI162" t="s">
        <v>16</v>
      </c>
      <c r="AQ162">
        <v>134</v>
      </c>
      <c r="AR162" s="17">
        <f t="shared" si="28"/>
        <v>-59.562465765300686</v>
      </c>
      <c r="AS162" s="17">
        <f t="shared" si="29"/>
        <v>-35</v>
      </c>
      <c r="AT162" s="17">
        <f>SUM(AR$161:$AR162)+SUM(AS$161:$AS162)</f>
        <v>-190.77174008997824</v>
      </c>
    </row>
    <row r="163" spans="33:46">
      <c r="AG163" s="21">
        <v>138</v>
      </c>
      <c r="AH163" s="2">
        <v>5</v>
      </c>
      <c r="AI163" t="s">
        <v>16</v>
      </c>
      <c r="AQ163">
        <v>135</v>
      </c>
      <c r="AR163" s="17">
        <f t="shared" si="28"/>
        <v>-57.912665503707579</v>
      </c>
      <c r="AS163" s="17">
        <f t="shared" si="29"/>
        <v>-35</v>
      </c>
      <c r="AT163" s="17">
        <f>SUM(AR$161:$AR163)+SUM(AS$161:$AS163)</f>
        <v>-283.68440559368582</v>
      </c>
    </row>
    <row r="164" spans="33:46">
      <c r="AG164" s="21">
        <v>139</v>
      </c>
      <c r="AH164" s="2">
        <v>5</v>
      </c>
      <c r="AI164" t="s">
        <v>16</v>
      </c>
      <c r="AQ164">
        <v>136</v>
      </c>
      <c r="AR164" s="17">
        <f t="shared" si="28"/>
        <v>-56.259868104972675</v>
      </c>
      <c r="AS164" s="17">
        <f t="shared" si="29"/>
        <v>-35</v>
      </c>
      <c r="AT164" s="17">
        <f>SUM(AR$161:$AR164)+SUM(AS$161:$AS164)</f>
        <v>-374.94427369865849</v>
      </c>
    </row>
    <row r="165" spans="33:46">
      <c r="AG165" s="21">
        <v>140</v>
      </c>
      <c r="AH165" s="2">
        <v>5</v>
      </c>
      <c r="AI165" t="s">
        <v>16</v>
      </c>
      <c r="AQ165">
        <v>137</v>
      </c>
      <c r="AR165" s="17">
        <f t="shared" si="28"/>
        <v>-54.604068124296731</v>
      </c>
      <c r="AS165" s="17">
        <f t="shared" si="29"/>
        <v>-35</v>
      </c>
      <c r="AT165" s="17">
        <f>SUM(AR$161:$AR165)+SUM(AS$161:$AS165)</f>
        <v>-464.54834182295519</v>
      </c>
    </row>
    <row r="166" spans="33:46">
      <c r="AG166" s="21">
        <v>141</v>
      </c>
      <c r="AH166" s="2">
        <v>5</v>
      </c>
      <c r="AI166" t="s">
        <v>16</v>
      </c>
      <c r="AQ166">
        <v>138</v>
      </c>
      <c r="AR166" s="17">
        <f t="shared" si="28"/>
        <v>-52.945260106989153</v>
      </c>
      <c r="AS166" s="17">
        <f t="shared" si="29"/>
        <v>-35</v>
      </c>
      <c r="AT166" s="17">
        <f>SUM(AR$161:$AR166)+SUM(AS$161:$AS166)</f>
        <v>-552.49360192994436</v>
      </c>
    </row>
    <row r="167" spans="33:46">
      <c r="AG167" s="21">
        <v>142</v>
      </c>
      <c r="AH167" s="2">
        <v>5</v>
      </c>
      <c r="AI167" t="s">
        <v>16</v>
      </c>
      <c r="AQ167">
        <v>139</v>
      </c>
      <c r="AR167" s="17">
        <f t="shared" si="28"/>
        <v>-51.283438588450267</v>
      </c>
      <c r="AS167" s="17">
        <f t="shared" si="29"/>
        <v>-35</v>
      </c>
      <c r="AT167" s="17">
        <f>SUM(AR$161:$AR167)+SUM(AS$161:$AS167)</f>
        <v>-638.77704051839464</v>
      </c>
    </row>
    <row r="168" spans="33:46">
      <c r="AG168" s="21">
        <v>143</v>
      </c>
      <c r="AH168" s="2">
        <v>5</v>
      </c>
      <c r="AI168" t="s">
        <v>16</v>
      </c>
      <c r="AQ168">
        <v>140</v>
      </c>
      <c r="AR168" s="17">
        <f t="shared" si="28"/>
        <v>-49.618598094152347</v>
      </c>
      <c r="AS168" s="17">
        <f t="shared" si="29"/>
        <v>-35</v>
      </c>
      <c r="AT168" s="17">
        <f>SUM(AR$161:$AR168)+SUM(AS$161:$AS168)</f>
        <v>-723.39563861254692</v>
      </c>
    </row>
    <row r="169" spans="33:46">
      <c r="AG169" s="21">
        <v>144</v>
      </c>
      <c r="AH169" s="2">
        <v>5</v>
      </c>
      <c r="AI169" t="s">
        <v>16</v>
      </c>
      <c r="AQ169">
        <v>141</v>
      </c>
      <c r="AR169" s="17">
        <f t="shared" si="28"/>
        <v>-47.950733139623459</v>
      </c>
      <c r="AS169" s="17">
        <f t="shared" si="29"/>
        <v>-35</v>
      </c>
      <c r="AT169" s="17">
        <f>SUM(AR$161:$AR169)+SUM(AS$161:$AS169)</f>
        <v>-806.3463717521704</v>
      </c>
    </row>
    <row r="170" spans="33:46">
      <c r="AG170" s="21">
        <v>145</v>
      </c>
      <c r="AH170" s="2">
        <v>5</v>
      </c>
      <c r="AI170" t="s">
        <v>16</v>
      </c>
      <c r="AQ170">
        <v>142</v>
      </c>
      <c r="AR170" s="17">
        <f t="shared" si="28"/>
        <v>-46.279838230427067</v>
      </c>
      <c r="AS170" s="17">
        <f t="shared" si="29"/>
        <v>-35</v>
      </c>
      <c r="AT170" s="17">
        <f>SUM(AR$161:$AR170)+SUM(AS$161:$AS170)</f>
        <v>-887.62620998259752</v>
      </c>
    </row>
    <row r="171" spans="33:46">
      <c r="AG171" s="21">
        <v>146</v>
      </c>
      <c r="AH171" s="2">
        <v>5</v>
      </c>
      <c r="AI171" t="s">
        <v>16</v>
      </c>
      <c r="AQ171">
        <v>143</v>
      </c>
      <c r="AR171" s="17">
        <f t="shared" si="28"/>
        <v>-44.605907862145706</v>
      </c>
      <c r="AS171" s="17">
        <f t="shared" si="29"/>
        <v>-35</v>
      </c>
      <c r="AT171" s="17">
        <f>SUM(AR$161:$AR171)+SUM(AS$161:$AS171)</f>
        <v>-967.23211784474324</v>
      </c>
    </row>
    <row r="172" spans="33:46">
      <c r="AG172" s="21">
        <v>147</v>
      </c>
      <c r="AH172" s="2">
        <v>5</v>
      </c>
      <c r="AI172" t="s">
        <v>16</v>
      </c>
      <c r="AQ172">
        <v>144</v>
      </c>
      <c r="AR172" s="17">
        <f t="shared" si="28"/>
        <v>-42.928936520361987</v>
      </c>
      <c r="AS172" s="17">
        <f t="shared" si="29"/>
        <v>-35</v>
      </c>
      <c r="AT172" s="163">
        <f>SUM(AR$161:$AR172)+SUM(AS$161:$AS172)</f>
        <v>-1045.1610543651052</v>
      </c>
    </row>
    <row r="173" spans="33:46">
      <c r="AG173" s="21">
        <v>148</v>
      </c>
      <c r="AH173" s="2">
        <v>5</v>
      </c>
      <c r="AI173" t="s">
        <v>16</v>
      </c>
      <c r="AQ173">
        <v>145</v>
      </c>
      <c r="AR173" s="17">
        <f t="shared" si="28"/>
        <v>-41.248918680640607</v>
      </c>
      <c r="AS173" s="17">
        <f t="shared" si="29"/>
        <v>-35</v>
      </c>
      <c r="AT173" s="17">
        <f>SUM(AR$173:$AR173)+SUM(AS$173:$AS173)</f>
        <v>-76.2489186806406</v>
      </c>
    </row>
    <row r="174" spans="33:46">
      <c r="AG174" s="21">
        <v>149</v>
      </c>
      <c r="AH174" s="2">
        <v>5</v>
      </c>
      <c r="AI174" t="s">
        <v>16</v>
      </c>
      <c r="AQ174">
        <v>146</v>
      </c>
      <c r="AR174" s="17">
        <f t="shared" si="28"/>
        <v>-39.565848808510573</v>
      </c>
      <c r="AS174" s="17">
        <f t="shared" si="29"/>
        <v>-35</v>
      </c>
      <c r="AT174" s="17">
        <f>SUM(AR$173:$AR174)+SUM(AS$173:$AS174)</f>
        <v>-150.81476748915117</v>
      </c>
    </row>
    <row r="175" spans="33:46">
      <c r="AG175" s="21">
        <v>150</v>
      </c>
      <c r="AH175" s="2">
        <v>6</v>
      </c>
      <c r="AI175" t="s">
        <v>17</v>
      </c>
      <c r="AQ175">
        <v>147</v>
      </c>
      <c r="AR175" s="17">
        <f t="shared" si="28"/>
        <v>-37.879721359445888</v>
      </c>
      <c r="AS175" s="17">
        <f t="shared" si="29"/>
        <v>-35</v>
      </c>
      <c r="AT175" s="17">
        <f>SUM(AR$173:$AR175)+SUM(AS$173:$AS175)</f>
        <v>-223.69448884859708</v>
      </c>
    </row>
    <row r="176" spans="33:46">
      <c r="AG176" s="21">
        <v>151</v>
      </c>
      <c r="AH176" s="2">
        <v>6</v>
      </c>
      <c r="AI176" t="s">
        <v>17</v>
      </c>
      <c r="AQ176">
        <v>148</v>
      </c>
      <c r="AR176" s="17">
        <f t="shared" si="28"/>
        <v>-36.190530778848618</v>
      </c>
      <c r="AS176" s="17">
        <f t="shared" si="29"/>
        <v>-35</v>
      </c>
      <c r="AT176" s="17">
        <f>SUM(AR$173:$AR176)+SUM(AS$173:$AS176)</f>
        <v>-294.88501962744567</v>
      </c>
    </row>
    <row r="177" spans="33:46">
      <c r="AG177" s="21">
        <v>152</v>
      </c>
      <c r="AH177" s="2">
        <v>6</v>
      </c>
      <c r="AI177" t="s">
        <v>17</v>
      </c>
      <c r="AQ177">
        <v>149</v>
      </c>
      <c r="AR177" s="17">
        <f t="shared" si="28"/>
        <v>-34.498271502030249</v>
      </c>
      <c r="AS177" s="17">
        <f t="shared" si="29"/>
        <v>-35</v>
      </c>
      <c r="AT177" s="17">
        <f>SUM(AR$173:$AR177)+SUM(AS$173:$AS177)</f>
        <v>-364.38329112947594</v>
      </c>
    </row>
    <row r="178" spans="33:46">
      <c r="AG178" s="21">
        <v>153</v>
      </c>
      <c r="AH178" s="2">
        <v>6</v>
      </c>
      <c r="AI178" t="s">
        <v>17</v>
      </c>
      <c r="AQ178">
        <v>150</v>
      </c>
      <c r="AR178" s="17">
        <f t="shared" si="28"/>
        <v>-32.802937954192558</v>
      </c>
      <c r="AS178" s="17">
        <f t="shared" si="29"/>
        <v>-35</v>
      </c>
      <c r="AT178" s="17">
        <f>SUM(AR$173:$AR178)+SUM(AS$173:$AS178)</f>
        <v>-432.18622908366848</v>
      </c>
    </row>
    <row r="179" spans="33:46">
      <c r="AG179" s="21">
        <v>154</v>
      </c>
      <c r="AH179" s="2">
        <v>6</v>
      </c>
      <c r="AI179" t="s">
        <v>17</v>
      </c>
      <c r="AQ179">
        <v>151</v>
      </c>
      <c r="AR179" s="17">
        <f t="shared" si="28"/>
        <v>-31.10452455040895</v>
      </c>
      <c r="AS179" s="17">
        <f t="shared" si="29"/>
        <v>-35</v>
      </c>
      <c r="AT179" s="17">
        <f>SUM(AR$173:$AR179)+SUM(AS$173:$AS179)</f>
        <v>-498.29075363407742</v>
      </c>
    </row>
    <row r="180" spans="33:46">
      <c r="AG180" s="21">
        <v>155</v>
      </c>
      <c r="AH180" s="2">
        <v>6</v>
      </c>
      <c r="AI180" t="s">
        <v>17</v>
      </c>
      <c r="AQ180">
        <v>152</v>
      </c>
      <c r="AR180" s="17">
        <f t="shared" si="28"/>
        <v>-29.403025695608928</v>
      </c>
      <c r="AS180" s="17">
        <f t="shared" si="29"/>
        <v>-35</v>
      </c>
      <c r="AT180" s="17">
        <f>SUM(AR$173:$AR180)+SUM(AS$173:$AS180)</f>
        <v>-562.69377932968632</v>
      </c>
    </row>
    <row r="181" spans="33:46">
      <c r="AG181" s="21">
        <v>156</v>
      </c>
      <c r="AH181" s="2">
        <v>6</v>
      </c>
      <c r="AI181" t="s">
        <v>17</v>
      </c>
      <c r="AQ181">
        <v>153</v>
      </c>
      <c r="AR181" s="17">
        <f t="shared" si="28"/>
        <v>-27.69843578455599</v>
      </c>
      <c r="AS181" s="17">
        <f t="shared" si="29"/>
        <v>-35</v>
      </c>
      <c r="AT181" s="17">
        <f>SUM(AR$173:$AR181)+SUM(AS$173:$AS181)</f>
        <v>-625.39221511424239</v>
      </c>
    </row>
    <row r="182" spans="33:46">
      <c r="AG182" s="21">
        <v>157</v>
      </c>
      <c r="AH182" s="2">
        <v>6</v>
      </c>
      <c r="AI182" t="s">
        <v>17</v>
      </c>
      <c r="AQ182">
        <v>154</v>
      </c>
      <c r="AR182" s="17">
        <f t="shared" si="28"/>
        <v>-25.990749201831118</v>
      </c>
      <c r="AS182" s="17">
        <f t="shared" si="29"/>
        <v>-35</v>
      </c>
      <c r="AT182" s="17">
        <f>SUM(AR$173:$AR182)+SUM(AS$173:$AS182)</f>
        <v>-686.38296431607341</v>
      </c>
    </row>
    <row r="183" spans="33:46">
      <c r="AG183" s="21">
        <v>158</v>
      </c>
      <c r="AH183" s="2">
        <v>6</v>
      </c>
      <c r="AI183" t="s">
        <v>17</v>
      </c>
      <c r="AQ183">
        <v>155</v>
      </c>
      <c r="AR183" s="17">
        <f t="shared" si="28"/>
        <v>-24.27996032181456</v>
      </c>
      <c r="AS183" s="17">
        <f t="shared" si="29"/>
        <v>-35</v>
      </c>
      <c r="AT183" s="17">
        <f>SUM(AR$173:$AR183)+SUM(AS$173:$AS183)</f>
        <v>-745.66292463788795</v>
      </c>
    </row>
    <row r="184" spans="33:46">
      <c r="AG184" s="21">
        <v>159</v>
      </c>
      <c r="AH184" s="2">
        <v>6</v>
      </c>
      <c r="AI184" t="s">
        <v>17</v>
      </c>
      <c r="AQ184">
        <v>156</v>
      </c>
      <c r="AR184" s="17">
        <f t="shared" si="28"/>
        <v>-22.566063508665721</v>
      </c>
      <c r="AS184" s="17">
        <f t="shared" si="29"/>
        <v>-35</v>
      </c>
      <c r="AT184" s="163">
        <f>SUM(AR$173:$AR184)+SUM(AS$173:$AS184)</f>
        <v>-803.22898814655377</v>
      </c>
    </row>
    <row r="185" spans="33:46">
      <c r="AG185" s="21">
        <v>160</v>
      </c>
      <c r="AH185" s="2">
        <v>6</v>
      </c>
      <c r="AI185" t="s">
        <v>17</v>
      </c>
      <c r="AQ185">
        <v>157</v>
      </c>
      <c r="AR185" s="17">
        <f t="shared" si="28"/>
        <v>-20.849053116306568</v>
      </c>
      <c r="AS185" s="17">
        <f t="shared" si="29"/>
        <v>-35</v>
      </c>
      <c r="AT185" s="17">
        <f>SUM(AR$185:$AR185)+SUM(AS$185:$AS185)</f>
        <v>-55.849053116306564</v>
      </c>
    </row>
    <row r="186" spans="33:46">
      <c r="AG186" s="21">
        <v>161</v>
      </c>
      <c r="AH186" s="2">
        <v>6</v>
      </c>
      <c r="AI186" t="s">
        <v>17</v>
      </c>
      <c r="AQ186">
        <v>158</v>
      </c>
      <c r="AR186" s="17">
        <f t="shared" si="28"/>
        <v>-19.128923488401167</v>
      </c>
      <c r="AS186" s="17">
        <f t="shared" si="29"/>
        <v>-35</v>
      </c>
      <c r="AT186" s="17">
        <f>SUM(AR$185:$AR186)+SUM(AS$185:$AS186)</f>
        <v>-109.97797660470773</v>
      </c>
    </row>
    <row r="187" spans="33:46">
      <c r="AG187" s="21">
        <v>162</v>
      </c>
      <c r="AH187" s="2">
        <v>6</v>
      </c>
      <c r="AI187" t="s">
        <v>17</v>
      </c>
      <c r="AQ187">
        <v>159</v>
      </c>
      <c r="AR187" s="17">
        <f t="shared" si="28"/>
        <v>-17.405668958338399</v>
      </c>
      <c r="AS187" s="17">
        <f t="shared" si="29"/>
        <v>-35</v>
      </c>
      <c r="AT187" s="17">
        <f>SUM(AR$185:$AR187)+SUM(AS$185:$AS187)</f>
        <v>-162.38364556304612</v>
      </c>
    </row>
    <row r="188" spans="33:46">
      <c r="AG188" s="21">
        <v>163</v>
      </c>
      <c r="AH188" s="2">
        <v>6</v>
      </c>
      <c r="AI188" t="s">
        <v>17</v>
      </c>
      <c r="AQ188">
        <v>160</v>
      </c>
      <c r="AR188" s="17">
        <f t="shared" si="28"/>
        <v>-15.679283849212547</v>
      </c>
      <c r="AS188" s="17">
        <f t="shared" si="29"/>
        <v>-35</v>
      </c>
      <c r="AT188" s="17">
        <f>SUM(AR$185:$AR188)+SUM(AS$185:$AS188)</f>
        <v>-213.06292941225868</v>
      </c>
    </row>
    <row r="189" spans="33:46">
      <c r="AG189" s="21">
        <v>164</v>
      </c>
      <c r="AH189" s="2">
        <v>6</v>
      </c>
      <c r="AI189" t="s">
        <v>17</v>
      </c>
      <c r="AQ189">
        <v>161</v>
      </c>
      <c r="AR189" s="17">
        <f t="shared" si="28"/>
        <v>-13.949762473805434</v>
      </c>
      <c r="AS189" s="17">
        <f t="shared" si="29"/>
        <v>-35</v>
      </c>
      <c r="AT189" s="17">
        <f>SUM(AR$185:$AR189)+SUM(AS$185:$AS189)</f>
        <v>-262.01269188606409</v>
      </c>
    </row>
    <row r="190" spans="33:46">
      <c r="AG190" s="21">
        <v>165</v>
      </c>
      <c r="AH190" s="2">
        <v>6</v>
      </c>
      <c r="AI190" t="s">
        <v>17</v>
      </c>
      <c r="AQ190">
        <v>162</v>
      </c>
      <c r="AR190" s="17">
        <f t="shared" si="28"/>
        <v>-12.217099134566112</v>
      </c>
      <c r="AS190" s="17">
        <f t="shared" si="29"/>
        <v>-35</v>
      </c>
      <c r="AT190" s="17">
        <f>SUM(AR$185:$AR190)+SUM(AS$185:$AS190)</f>
        <v>-309.22979102063022</v>
      </c>
    </row>
    <row r="191" spans="33:46">
      <c r="AG191" s="21">
        <v>166</v>
      </c>
      <c r="AH191" s="2">
        <v>6</v>
      </c>
      <c r="AI191" t="s">
        <v>17</v>
      </c>
      <c r="AQ191">
        <v>163</v>
      </c>
      <c r="AR191" s="17">
        <f t="shared" si="28"/>
        <v>-10.481288123594053</v>
      </c>
      <c r="AS191" s="17">
        <f t="shared" si="29"/>
        <v>-35</v>
      </c>
      <c r="AT191" s="17">
        <f>SUM(AR$185:$AR191)+SUM(AS$185:$AS191)</f>
        <v>-354.7110791442243</v>
      </c>
    </row>
    <row r="192" spans="33:46">
      <c r="AG192" s="21">
        <v>167</v>
      </c>
      <c r="AH192" s="2">
        <v>6</v>
      </c>
      <c r="AI192" t="s">
        <v>17</v>
      </c>
      <c r="AQ192">
        <v>164</v>
      </c>
      <c r="AR192" s="17">
        <f t="shared" si="28"/>
        <v>-8.7423237226183748</v>
      </c>
      <c r="AS192" s="17">
        <f t="shared" si="29"/>
        <v>-35</v>
      </c>
      <c r="AT192" s="17">
        <f>SUM(AR$185:$AR192)+SUM(AS$185:$AS192)</f>
        <v>-398.45340286684268</v>
      </c>
    </row>
    <row r="193" spans="33:46">
      <c r="AG193" s="21">
        <v>168</v>
      </c>
      <c r="AH193" s="2">
        <v>6</v>
      </c>
      <c r="AI193" t="s">
        <v>17</v>
      </c>
      <c r="AQ193">
        <v>165</v>
      </c>
      <c r="AR193" s="17">
        <f t="shared" si="28"/>
        <v>-7.0002002029812838</v>
      </c>
      <c r="AS193" s="17">
        <f t="shared" si="29"/>
        <v>-35</v>
      </c>
      <c r="AT193" s="17">
        <f>SUM(AR$185:$AR193)+SUM(AS$185:$AS193)</f>
        <v>-440.45360306982394</v>
      </c>
    </row>
    <row r="194" spans="33:46">
      <c r="AG194" s="21">
        <v>169</v>
      </c>
      <c r="AH194" s="2">
        <v>6</v>
      </c>
      <c r="AI194" t="s">
        <v>17</v>
      </c>
      <c r="AQ194">
        <v>166</v>
      </c>
      <c r="AR194" s="17">
        <f t="shared" si="28"/>
        <v>-5.2549118256167704</v>
      </c>
      <c r="AS194" s="17">
        <f t="shared" si="29"/>
        <v>-35</v>
      </c>
      <c r="AT194" s="17">
        <f>SUM(AR$185:$AR194)+SUM(AS$185:$AS194)</f>
        <v>-480.70851489544071</v>
      </c>
    </row>
    <row r="195" spans="33:46">
      <c r="AG195" s="21">
        <v>170</v>
      </c>
      <c r="AH195" s="2">
        <v>6</v>
      </c>
      <c r="AI195" t="s">
        <v>17</v>
      </c>
      <c r="AQ195">
        <v>167</v>
      </c>
      <c r="AR195" s="17">
        <f t="shared" si="28"/>
        <v>-3.5064528410329525</v>
      </c>
      <c r="AS195" s="17">
        <f t="shared" si="29"/>
        <v>-35</v>
      </c>
      <c r="AT195" s="17">
        <f>SUM(AR$185:$AR195)+SUM(AS$185:$AS195)</f>
        <v>-519.21496773647368</v>
      </c>
    </row>
    <row r="196" spans="33:46">
      <c r="AG196" s="21">
        <v>171</v>
      </c>
      <c r="AH196" s="2">
        <v>6</v>
      </c>
      <c r="AI196" t="s">
        <v>17</v>
      </c>
      <c r="AQ196">
        <v>168</v>
      </c>
      <c r="AR196" s="17">
        <f t="shared" si="28"/>
        <v>-1.7548174892944144</v>
      </c>
      <c r="AS196" s="17">
        <f t="shared" si="29"/>
        <v>-35</v>
      </c>
      <c r="AT196" s="163">
        <f>SUM(AR$185:$AR196)+SUM(AS$185:$AS196)</f>
        <v>-555.96978522576808</v>
      </c>
    </row>
    <row r="197" spans="33:46">
      <c r="AG197" s="21">
        <v>172</v>
      </c>
      <c r="AH197" s="2">
        <v>6</v>
      </c>
      <c r="AI197" t="s">
        <v>17</v>
      </c>
      <c r="AQ197">
        <v>169</v>
      </c>
      <c r="AR197" s="17" t="e">
        <f t="shared" si="28"/>
        <v>#NUM!</v>
      </c>
      <c r="AS197" s="17">
        <f t="shared" si="29"/>
        <v>-35</v>
      </c>
      <c r="AT197" s="17" t="e">
        <f>SUM(AR$197:$AR197)+SUM(AS$197:$AS197)</f>
        <v>#NUM!</v>
      </c>
    </row>
    <row r="198" spans="33:46">
      <c r="AG198" s="21">
        <v>173</v>
      </c>
      <c r="AH198" s="2">
        <v>6</v>
      </c>
      <c r="AI198" t="s">
        <v>17</v>
      </c>
      <c r="AQ198">
        <v>170</v>
      </c>
      <c r="AR198" s="17" t="e">
        <f t="shared" si="28"/>
        <v>#NUM!</v>
      </c>
      <c r="AS198" s="17">
        <f t="shared" si="29"/>
        <v>-35</v>
      </c>
      <c r="AT198" s="17" t="e">
        <f>SUM(AR$197:$AR198)+SUM(AS$197:$AS198)</f>
        <v>#NUM!</v>
      </c>
    </row>
    <row r="199" spans="33:46">
      <c r="AG199" s="21">
        <v>174</v>
      </c>
      <c r="AH199" s="2">
        <v>6</v>
      </c>
      <c r="AI199" t="s">
        <v>17</v>
      </c>
      <c r="AQ199">
        <v>171</v>
      </c>
      <c r="AR199" s="17" t="e">
        <f t="shared" si="28"/>
        <v>#NUM!</v>
      </c>
      <c r="AS199" s="17">
        <f t="shared" si="29"/>
        <v>-35</v>
      </c>
      <c r="AT199" s="17" t="e">
        <f>SUM(AR$197:$AR199)+SUM(AS$197:$AS199)</f>
        <v>#NUM!</v>
      </c>
    </row>
    <row r="200" spans="33:46">
      <c r="AG200" s="21">
        <v>175</v>
      </c>
      <c r="AH200" s="2">
        <v>6</v>
      </c>
      <c r="AI200" t="s">
        <v>17</v>
      </c>
      <c r="AQ200">
        <v>172</v>
      </c>
      <c r="AR200" s="17" t="e">
        <f t="shared" si="28"/>
        <v>#NUM!</v>
      </c>
      <c r="AS200" s="17">
        <f t="shared" si="29"/>
        <v>-35</v>
      </c>
      <c r="AT200" s="17" t="e">
        <f>SUM(AR$197:$AR200)+SUM(AS$197:$AS200)</f>
        <v>#NUM!</v>
      </c>
    </row>
    <row r="201" spans="33:46">
      <c r="AG201" s="21">
        <v>176</v>
      </c>
      <c r="AH201" s="2">
        <v>6</v>
      </c>
      <c r="AI201" t="s">
        <v>17</v>
      </c>
      <c r="AQ201">
        <v>173</v>
      </c>
      <c r="AR201" s="17" t="e">
        <f t="shared" si="28"/>
        <v>#NUM!</v>
      </c>
      <c r="AS201" s="17">
        <f t="shared" si="29"/>
        <v>-35</v>
      </c>
      <c r="AT201" s="17" t="e">
        <f>SUM(AR$197:$AR201)+SUM(AS$197:$AS201)</f>
        <v>#NUM!</v>
      </c>
    </row>
    <row r="202" spans="33:46">
      <c r="AG202" s="21">
        <v>177</v>
      </c>
      <c r="AH202" s="2">
        <v>6</v>
      </c>
      <c r="AI202" t="s">
        <v>17</v>
      </c>
      <c r="AQ202">
        <v>174</v>
      </c>
      <c r="AR202" s="17" t="e">
        <f t="shared" si="28"/>
        <v>#NUM!</v>
      </c>
      <c r="AS202" s="17">
        <f t="shared" si="29"/>
        <v>-35</v>
      </c>
      <c r="AT202" s="17" t="e">
        <f>SUM(AR$197:$AR202)+SUM(AS$197:$AS202)</f>
        <v>#NUM!</v>
      </c>
    </row>
    <row r="203" spans="33:46">
      <c r="AG203" s="21">
        <v>178</v>
      </c>
      <c r="AH203" s="2">
        <v>6</v>
      </c>
      <c r="AI203" t="s">
        <v>17</v>
      </c>
      <c r="AQ203">
        <v>175</v>
      </c>
      <c r="AR203" s="17" t="e">
        <f t="shared" si="28"/>
        <v>#NUM!</v>
      </c>
      <c r="AS203" s="17">
        <f t="shared" si="29"/>
        <v>-35</v>
      </c>
      <c r="AT203" s="17" t="e">
        <f>SUM(AR$197:$AR203)+SUM(AS$197:$AS203)</f>
        <v>#NUM!</v>
      </c>
    </row>
    <row r="204" spans="33:46">
      <c r="AG204" s="21">
        <v>179</v>
      </c>
      <c r="AH204" s="2">
        <v>6</v>
      </c>
      <c r="AI204" t="s">
        <v>17</v>
      </c>
      <c r="AQ204">
        <v>176</v>
      </c>
      <c r="AR204" s="17" t="e">
        <f t="shared" si="28"/>
        <v>#NUM!</v>
      </c>
      <c r="AS204" s="17">
        <f t="shared" si="29"/>
        <v>-35</v>
      </c>
      <c r="AT204" s="17" t="e">
        <f>SUM(AR$197:$AR204)+SUM(AS$197:$AS204)</f>
        <v>#NUM!</v>
      </c>
    </row>
    <row r="205" spans="33:46">
      <c r="AG205" s="21">
        <v>180</v>
      </c>
      <c r="AH205" s="2">
        <v>6</v>
      </c>
      <c r="AI205" t="s">
        <v>17</v>
      </c>
      <c r="AQ205">
        <v>177</v>
      </c>
      <c r="AR205" s="17" t="e">
        <f t="shared" si="28"/>
        <v>#NUM!</v>
      </c>
      <c r="AS205" s="17">
        <f t="shared" si="29"/>
        <v>-35</v>
      </c>
      <c r="AT205" s="17" t="e">
        <f>SUM(AR$197:$AR205)+SUM(AS$197:$AS205)</f>
        <v>#NUM!</v>
      </c>
    </row>
    <row r="206" spans="33:46">
      <c r="AG206" s="21">
        <v>181</v>
      </c>
      <c r="AH206" s="2">
        <v>7</v>
      </c>
      <c r="AI206" t="s">
        <v>46</v>
      </c>
      <c r="AQ206">
        <v>178</v>
      </c>
      <c r="AR206" s="17" t="e">
        <f t="shared" si="28"/>
        <v>#NUM!</v>
      </c>
      <c r="AS206" s="17">
        <f t="shared" si="29"/>
        <v>-35</v>
      </c>
      <c r="AT206" s="17" t="e">
        <f>SUM(AR$197:$AR206)+SUM(AS$197:$AS206)</f>
        <v>#NUM!</v>
      </c>
    </row>
    <row r="207" spans="33:46">
      <c r="AG207" s="21">
        <v>182</v>
      </c>
      <c r="AH207" s="2">
        <v>7</v>
      </c>
      <c r="AI207" t="s">
        <v>46</v>
      </c>
      <c r="AQ207">
        <v>179</v>
      </c>
      <c r="AR207" s="17" t="e">
        <f t="shared" si="28"/>
        <v>#NUM!</v>
      </c>
      <c r="AS207" s="17">
        <f t="shared" si="29"/>
        <v>-35</v>
      </c>
      <c r="AT207" s="17" t="e">
        <f>SUM(AR$197:$AR207)+SUM(AS$197:$AS207)</f>
        <v>#NUM!</v>
      </c>
    </row>
    <row r="208" spans="33:46">
      <c r="AG208" s="21">
        <v>183</v>
      </c>
      <c r="AH208" s="2">
        <v>7</v>
      </c>
      <c r="AI208" t="s">
        <v>46</v>
      </c>
      <c r="AQ208">
        <v>180</v>
      </c>
      <c r="AR208" s="17" t="e">
        <f t="shared" si="28"/>
        <v>#NUM!</v>
      </c>
      <c r="AS208" s="17">
        <f t="shared" si="29"/>
        <v>-35</v>
      </c>
      <c r="AT208" s="163" t="e">
        <f>SUM(AR$197:$AR208)+SUM(AS$197:$AS208)</f>
        <v>#NUM!</v>
      </c>
    </row>
    <row r="209" spans="33:46">
      <c r="AG209" s="21">
        <v>184</v>
      </c>
      <c r="AH209" s="2">
        <v>7</v>
      </c>
      <c r="AI209" t="s">
        <v>46</v>
      </c>
      <c r="AQ209">
        <v>181</v>
      </c>
      <c r="AR209" s="17" t="e">
        <f t="shared" si="28"/>
        <v>#NUM!</v>
      </c>
      <c r="AS209" s="17">
        <f t="shared" si="29"/>
        <v>-35</v>
      </c>
      <c r="AT209" s="17" t="e">
        <f>SUM(AR$209:$AR209)+SUM(AS$209:$AS209)</f>
        <v>#NUM!</v>
      </c>
    </row>
    <row r="210" spans="33:46">
      <c r="AG210" s="21">
        <v>185</v>
      </c>
      <c r="AH210" s="2">
        <v>7</v>
      </c>
      <c r="AI210" t="s">
        <v>46</v>
      </c>
      <c r="AQ210">
        <v>182</v>
      </c>
      <c r="AR210" s="17" t="e">
        <f t="shared" si="28"/>
        <v>#NUM!</v>
      </c>
      <c r="AS210" s="17">
        <f t="shared" si="29"/>
        <v>-35</v>
      </c>
      <c r="AT210" s="17" t="e">
        <f>SUM(AR$209:$AR210)+SUM(AS$209:$AS210)</f>
        <v>#NUM!</v>
      </c>
    </row>
    <row r="211" spans="33:46">
      <c r="AG211" s="21">
        <v>186</v>
      </c>
      <c r="AH211" s="2">
        <v>7</v>
      </c>
      <c r="AI211" t="s">
        <v>46</v>
      </c>
      <c r="AQ211">
        <v>183</v>
      </c>
      <c r="AR211" s="17" t="e">
        <f t="shared" si="28"/>
        <v>#NUM!</v>
      </c>
      <c r="AS211" s="17">
        <f t="shared" si="29"/>
        <v>-35</v>
      </c>
      <c r="AT211" s="17" t="e">
        <f>SUM(AR$209:$AR211)+SUM(AS$209:$AS211)</f>
        <v>#NUM!</v>
      </c>
    </row>
    <row r="212" spans="33:46">
      <c r="AG212" s="21">
        <v>187</v>
      </c>
      <c r="AH212" s="2">
        <v>7</v>
      </c>
      <c r="AI212" t="s">
        <v>46</v>
      </c>
      <c r="AQ212">
        <v>184</v>
      </c>
      <c r="AR212" s="17" t="e">
        <f t="shared" si="28"/>
        <v>#NUM!</v>
      </c>
      <c r="AS212" s="17">
        <f t="shared" si="29"/>
        <v>-35</v>
      </c>
      <c r="AT212" s="17" t="e">
        <f>SUM(AR$209:$AR212)+SUM(AS$209:$AS212)</f>
        <v>#NUM!</v>
      </c>
    </row>
    <row r="213" spans="33:46">
      <c r="AG213" s="21">
        <v>188</v>
      </c>
      <c r="AH213" s="2">
        <v>7</v>
      </c>
      <c r="AI213" t="s">
        <v>46</v>
      </c>
      <c r="AQ213">
        <v>185</v>
      </c>
      <c r="AR213" s="17" t="e">
        <f t="shared" si="28"/>
        <v>#NUM!</v>
      </c>
      <c r="AS213" s="17">
        <f t="shared" si="29"/>
        <v>-35</v>
      </c>
      <c r="AT213" s="17" t="e">
        <f>SUM(AR$209:$AR213)+SUM(AS$209:$AS213)</f>
        <v>#NUM!</v>
      </c>
    </row>
    <row r="214" spans="33:46">
      <c r="AG214" s="21">
        <v>189</v>
      </c>
      <c r="AH214" s="2">
        <v>7</v>
      </c>
      <c r="AI214" t="s">
        <v>46</v>
      </c>
      <c r="AQ214">
        <v>186</v>
      </c>
      <c r="AR214" s="17" t="e">
        <f t="shared" si="28"/>
        <v>#NUM!</v>
      </c>
      <c r="AS214" s="17">
        <f t="shared" si="29"/>
        <v>-35</v>
      </c>
      <c r="AT214" s="17" t="e">
        <f>SUM(AR$209:$AR214)+SUM(AS$209:$AS214)</f>
        <v>#NUM!</v>
      </c>
    </row>
    <row r="215" spans="33:46">
      <c r="AG215" s="21">
        <v>190</v>
      </c>
      <c r="AH215" s="2">
        <v>7</v>
      </c>
      <c r="AI215" t="s">
        <v>46</v>
      </c>
      <c r="AQ215">
        <v>187</v>
      </c>
      <c r="AR215" s="17" t="e">
        <f t="shared" si="28"/>
        <v>#NUM!</v>
      </c>
      <c r="AS215" s="17">
        <f t="shared" si="29"/>
        <v>-35</v>
      </c>
      <c r="AT215" s="17" t="e">
        <f>SUM(AR$209:$AR215)+SUM(AS$209:$AS215)</f>
        <v>#NUM!</v>
      </c>
    </row>
    <row r="216" spans="33:46">
      <c r="AG216" s="21">
        <v>191</v>
      </c>
      <c r="AH216" s="2">
        <v>7</v>
      </c>
      <c r="AI216" t="s">
        <v>46</v>
      </c>
      <c r="AQ216">
        <v>188</v>
      </c>
      <c r="AR216" s="17" t="e">
        <f t="shared" si="28"/>
        <v>#NUM!</v>
      </c>
      <c r="AS216" s="17">
        <f t="shared" si="29"/>
        <v>-35</v>
      </c>
      <c r="AT216" s="17" t="e">
        <f>SUM(AR$209:$AR216)+SUM(AS$209:$AS216)</f>
        <v>#NUM!</v>
      </c>
    </row>
    <row r="217" spans="33:46">
      <c r="AG217" s="21">
        <v>192</v>
      </c>
      <c r="AH217" s="2">
        <v>7</v>
      </c>
      <c r="AI217" t="s">
        <v>46</v>
      </c>
      <c r="AQ217">
        <v>189</v>
      </c>
      <c r="AR217" s="17" t="e">
        <f t="shared" si="28"/>
        <v>#NUM!</v>
      </c>
      <c r="AS217" s="17">
        <f t="shared" si="29"/>
        <v>-35</v>
      </c>
      <c r="AT217" s="17" t="e">
        <f>SUM(AR$209:$AR217)+SUM(AS$209:$AS217)</f>
        <v>#NUM!</v>
      </c>
    </row>
    <row r="218" spans="33:46">
      <c r="AG218" s="21">
        <v>193</v>
      </c>
      <c r="AH218" s="2">
        <v>7</v>
      </c>
      <c r="AI218" t="s">
        <v>46</v>
      </c>
      <c r="AQ218">
        <v>190</v>
      </c>
      <c r="AR218" s="17" t="e">
        <f t="shared" si="28"/>
        <v>#NUM!</v>
      </c>
      <c r="AS218" s="17">
        <f t="shared" si="29"/>
        <v>-35</v>
      </c>
      <c r="AT218" s="17" t="e">
        <f>SUM(AR$209:$AR218)+SUM(AS$209:$AS218)</f>
        <v>#NUM!</v>
      </c>
    </row>
    <row r="219" spans="33:46">
      <c r="AG219" s="21">
        <v>194</v>
      </c>
      <c r="AH219" s="2">
        <v>7</v>
      </c>
      <c r="AI219" t="s">
        <v>46</v>
      </c>
      <c r="AQ219">
        <v>191</v>
      </c>
      <c r="AR219" s="17" t="e">
        <f t="shared" si="28"/>
        <v>#NUM!</v>
      </c>
      <c r="AS219" s="17">
        <f t="shared" si="29"/>
        <v>-35</v>
      </c>
      <c r="AT219" s="17" t="e">
        <f>SUM(AR$209:$AR219)+SUM(AS$209:$AS219)</f>
        <v>#NUM!</v>
      </c>
    </row>
    <row r="220" spans="33:46">
      <c r="AG220" s="21">
        <v>195</v>
      </c>
      <c r="AH220" s="2">
        <v>7</v>
      </c>
      <c r="AI220" t="s">
        <v>46</v>
      </c>
      <c r="AQ220">
        <v>192</v>
      </c>
      <c r="AR220" s="17" t="e">
        <f t="shared" si="28"/>
        <v>#NUM!</v>
      </c>
      <c r="AS220" s="17">
        <f t="shared" si="29"/>
        <v>-35</v>
      </c>
      <c r="AT220" s="163" t="e">
        <f>SUM(AR$209:$AR220)+SUM(AS$209:$AS220)</f>
        <v>#NUM!</v>
      </c>
    </row>
    <row r="221" spans="33:46">
      <c r="AG221" s="21">
        <v>196</v>
      </c>
      <c r="AH221" s="2">
        <v>7</v>
      </c>
      <c r="AI221" t="s">
        <v>46</v>
      </c>
      <c r="AQ221">
        <v>193</v>
      </c>
      <c r="AR221" s="17" t="e">
        <f t="shared" ref="AR221:AR267" si="30">IPMT($E$22/12,AQ221,$V$36*12,$E$21)</f>
        <v>#NUM!</v>
      </c>
      <c r="AS221" s="17">
        <f t="shared" si="29"/>
        <v>-35</v>
      </c>
      <c r="AT221" s="17" t="e">
        <f>SUM(AR$221:$AR221)+SUM(AS$221:$AS221)</f>
        <v>#NUM!</v>
      </c>
    </row>
    <row r="222" spans="33:46">
      <c r="AG222" s="21">
        <v>197</v>
      </c>
      <c r="AH222" s="2">
        <v>7</v>
      </c>
      <c r="AI222" t="s">
        <v>46</v>
      </c>
      <c r="AQ222">
        <v>194</v>
      </c>
      <c r="AR222" s="17" t="e">
        <f t="shared" si="30"/>
        <v>#NUM!</v>
      </c>
      <c r="AS222" s="17">
        <f t="shared" ref="AS222:AS285" si="31">-$E$24</f>
        <v>-35</v>
      </c>
      <c r="AT222" s="17" t="e">
        <f>SUM(AR$221:$AR222)+SUM(AS$221:$AS222)</f>
        <v>#NUM!</v>
      </c>
    </row>
    <row r="223" spans="33:46">
      <c r="AG223" s="21">
        <v>198</v>
      </c>
      <c r="AH223" s="2">
        <v>7</v>
      </c>
      <c r="AI223" t="s">
        <v>46</v>
      </c>
      <c r="AQ223">
        <v>195</v>
      </c>
      <c r="AR223" s="17" t="e">
        <f t="shared" si="30"/>
        <v>#NUM!</v>
      </c>
      <c r="AS223" s="17">
        <f t="shared" si="31"/>
        <v>-35</v>
      </c>
      <c r="AT223" s="17" t="e">
        <f>SUM(AR$221:$AR223)+SUM(AS$221:$AS223)</f>
        <v>#NUM!</v>
      </c>
    </row>
    <row r="224" spans="33:46">
      <c r="AG224" s="21">
        <v>199</v>
      </c>
      <c r="AH224" s="2">
        <v>7</v>
      </c>
      <c r="AI224" t="s">
        <v>46</v>
      </c>
      <c r="AQ224">
        <v>196</v>
      </c>
      <c r="AR224" s="17" t="e">
        <f t="shared" si="30"/>
        <v>#NUM!</v>
      </c>
      <c r="AS224" s="17">
        <f t="shared" si="31"/>
        <v>-35</v>
      </c>
      <c r="AT224" s="17" t="e">
        <f>SUM(AR$221:$AR224)+SUM(AS$221:$AS224)</f>
        <v>#NUM!</v>
      </c>
    </row>
    <row r="225" spans="33:46">
      <c r="AG225" s="21">
        <v>200</v>
      </c>
      <c r="AH225" s="2">
        <v>7</v>
      </c>
      <c r="AI225" t="s">
        <v>46</v>
      </c>
      <c r="AQ225">
        <v>197</v>
      </c>
      <c r="AR225" s="17" t="e">
        <f t="shared" si="30"/>
        <v>#NUM!</v>
      </c>
      <c r="AS225" s="17">
        <f t="shared" si="31"/>
        <v>-35</v>
      </c>
      <c r="AT225" s="17" t="e">
        <f>SUM(AR$221:$AR225)+SUM(AS$221:$AS225)</f>
        <v>#NUM!</v>
      </c>
    </row>
    <row r="226" spans="33:46">
      <c r="AQ226">
        <v>198</v>
      </c>
      <c r="AR226" s="17" t="e">
        <f t="shared" si="30"/>
        <v>#NUM!</v>
      </c>
      <c r="AS226" s="17">
        <f t="shared" si="31"/>
        <v>-35</v>
      </c>
      <c r="AT226" s="17" t="e">
        <f>SUM(AR$221:$AR226)+SUM(AS$221:$AS226)</f>
        <v>#NUM!</v>
      </c>
    </row>
    <row r="227" spans="33:46">
      <c r="AQ227">
        <v>199</v>
      </c>
      <c r="AR227" s="17" t="e">
        <f t="shared" si="30"/>
        <v>#NUM!</v>
      </c>
      <c r="AS227" s="17">
        <f t="shared" si="31"/>
        <v>-35</v>
      </c>
      <c r="AT227" s="17" t="e">
        <f>SUM(AR$221:$AR227)+SUM(AS$221:$AS227)</f>
        <v>#NUM!</v>
      </c>
    </row>
    <row r="228" spans="33:46">
      <c r="AQ228">
        <v>200</v>
      </c>
      <c r="AR228" s="17" t="e">
        <f t="shared" si="30"/>
        <v>#NUM!</v>
      </c>
      <c r="AS228" s="17">
        <f t="shared" si="31"/>
        <v>-35</v>
      </c>
      <c r="AT228" s="17" t="e">
        <f>SUM(AR$221:$AR228)+SUM(AS$221:$AS228)</f>
        <v>#NUM!</v>
      </c>
    </row>
    <row r="229" spans="33:46">
      <c r="AQ229">
        <v>201</v>
      </c>
      <c r="AR229" s="17" t="e">
        <f t="shared" si="30"/>
        <v>#NUM!</v>
      </c>
      <c r="AS229" s="17">
        <f t="shared" si="31"/>
        <v>-35</v>
      </c>
      <c r="AT229" s="17" t="e">
        <f>SUM(AR$221:$AR229)+SUM(AS$221:$AS229)</f>
        <v>#NUM!</v>
      </c>
    </row>
    <row r="230" spans="33:46">
      <c r="AQ230">
        <v>202</v>
      </c>
      <c r="AR230" s="17" t="e">
        <f t="shared" si="30"/>
        <v>#NUM!</v>
      </c>
      <c r="AS230" s="17">
        <f t="shared" si="31"/>
        <v>-35</v>
      </c>
      <c r="AT230" s="17" t="e">
        <f>SUM(AR$221:$AR230)+SUM(AS$221:$AS230)</f>
        <v>#NUM!</v>
      </c>
    </row>
    <row r="231" spans="33:46">
      <c r="AQ231">
        <v>203</v>
      </c>
      <c r="AR231" s="17" t="e">
        <f t="shared" si="30"/>
        <v>#NUM!</v>
      </c>
      <c r="AS231" s="17">
        <f t="shared" si="31"/>
        <v>-35</v>
      </c>
      <c r="AT231" s="17" t="e">
        <f>SUM(AR$221:$AR231)+SUM(AS$221:$AS231)</f>
        <v>#NUM!</v>
      </c>
    </row>
    <row r="232" spans="33:46">
      <c r="AQ232">
        <v>204</v>
      </c>
      <c r="AR232" s="17" t="e">
        <f t="shared" si="30"/>
        <v>#NUM!</v>
      </c>
      <c r="AS232" s="17">
        <f t="shared" si="31"/>
        <v>-35</v>
      </c>
      <c r="AT232" s="163" t="e">
        <f>SUM(AR$221:$AR232)+SUM(AS$221:$AS232)</f>
        <v>#NUM!</v>
      </c>
    </row>
    <row r="233" spans="33:46">
      <c r="AQ233">
        <v>205</v>
      </c>
      <c r="AR233" s="17" t="e">
        <f t="shared" si="30"/>
        <v>#NUM!</v>
      </c>
      <c r="AS233" s="17">
        <f t="shared" si="31"/>
        <v>-35</v>
      </c>
      <c r="AT233" s="17" t="e">
        <f>SUM(AR$233:$AR233)+SUM(AS$233:$AS233)</f>
        <v>#NUM!</v>
      </c>
    </row>
    <row r="234" spans="33:46">
      <c r="AQ234">
        <v>206</v>
      </c>
      <c r="AR234" s="17" t="e">
        <f t="shared" si="30"/>
        <v>#NUM!</v>
      </c>
      <c r="AS234" s="17">
        <f t="shared" si="31"/>
        <v>-35</v>
      </c>
      <c r="AT234" s="17" t="e">
        <f>SUM(AR$233:$AR234)+SUM(AS$233:$AS234)</f>
        <v>#NUM!</v>
      </c>
    </row>
    <row r="235" spans="33:46">
      <c r="AQ235">
        <v>207</v>
      </c>
      <c r="AR235" s="17" t="e">
        <f t="shared" si="30"/>
        <v>#NUM!</v>
      </c>
      <c r="AS235" s="17">
        <f t="shared" si="31"/>
        <v>-35</v>
      </c>
      <c r="AT235" s="17" t="e">
        <f>SUM(AR$233:$AR235)+SUM(AS$233:$AS235)</f>
        <v>#NUM!</v>
      </c>
    </row>
    <row r="236" spans="33:46">
      <c r="AQ236">
        <v>208</v>
      </c>
      <c r="AR236" s="17" t="e">
        <f t="shared" si="30"/>
        <v>#NUM!</v>
      </c>
      <c r="AS236" s="17">
        <f t="shared" si="31"/>
        <v>-35</v>
      </c>
      <c r="AT236" s="17" t="e">
        <f>SUM(AR$233:$AR236)+SUM(AS$233:$AS236)</f>
        <v>#NUM!</v>
      </c>
    </row>
    <row r="237" spans="33:46">
      <c r="AQ237">
        <v>209</v>
      </c>
      <c r="AR237" s="17" t="e">
        <f t="shared" si="30"/>
        <v>#NUM!</v>
      </c>
      <c r="AS237" s="17">
        <f t="shared" si="31"/>
        <v>-35</v>
      </c>
      <c r="AT237" s="17" t="e">
        <f>SUM(AR$233:$AR237)+SUM(AS$233:$AS237)</f>
        <v>#NUM!</v>
      </c>
    </row>
    <row r="238" spans="33:46">
      <c r="AQ238">
        <v>210</v>
      </c>
      <c r="AR238" s="17" t="e">
        <f t="shared" si="30"/>
        <v>#NUM!</v>
      </c>
      <c r="AS238" s="17">
        <f t="shared" si="31"/>
        <v>-35</v>
      </c>
      <c r="AT238" s="17" t="e">
        <f>SUM(AR$233:$AR238)+SUM(AS$233:$AS238)</f>
        <v>#NUM!</v>
      </c>
    </row>
    <row r="239" spans="33:46">
      <c r="AQ239">
        <v>211</v>
      </c>
      <c r="AR239" s="17" t="e">
        <f t="shared" si="30"/>
        <v>#NUM!</v>
      </c>
      <c r="AS239" s="17">
        <f t="shared" si="31"/>
        <v>-35</v>
      </c>
      <c r="AT239" s="17" t="e">
        <f>SUM(AR$233:$AR239)+SUM(AS$233:$AS239)</f>
        <v>#NUM!</v>
      </c>
    </row>
    <row r="240" spans="33:46">
      <c r="AQ240">
        <v>212</v>
      </c>
      <c r="AR240" s="17" t="e">
        <f t="shared" si="30"/>
        <v>#NUM!</v>
      </c>
      <c r="AS240" s="17">
        <f t="shared" si="31"/>
        <v>-35</v>
      </c>
      <c r="AT240" s="17" t="e">
        <f>SUM(AR$233:$AR240)+SUM(AS$233:$AS240)</f>
        <v>#NUM!</v>
      </c>
    </row>
    <row r="241" spans="43:46">
      <c r="AQ241">
        <v>213</v>
      </c>
      <c r="AR241" s="17" t="e">
        <f t="shared" si="30"/>
        <v>#NUM!</v>
      </c>
      <c r="AS241" s="17">
        <f t="shared" si="31"/>
        <v>-35</v>
      </c>
      <c r="AT241" s="17" t="e">
        <f>SUM(AR$233:$AR241)+SUM(AS$233:$AS241)</f>
        <v>#NUM!</v>
      </c>
    </row>
    <row r="242" spans="43:46">
      <c r="AQ242">
        <v>214</v>
      </c>
      <c r="AR242" s="17" t="e">
        <f t="shared" si="30"/>
        <v>#NUM!</v>
      </c>
      <c r="AS242" s="17">
        <f t="shared" si="31"/>
        <v>-35</v>
      </c>
      <c r="AT242" s="17" t="e">
        <f>SUM(AR$233:$AR242)+SUM(AS$233:$AS242)</f>
        <v>#NUM!</v>
      </c>
    </row>
    <row r="243" spans="43:46">
      <c r="AQ243">
        <v>215</v>
      </c>
      <c r="AR243" s="17" t="e">
        <f t="shared" si="30"/>
        <v>#NUM!</v>
      </c>
      <c r="AS243" s="17">
        <f t="shared" si="31"/>
        <v>-35</v>
      </c>
      <c r="AT243" s="17" t="e">
        <f>SUM(AR$233:$AR243)+SUM(AS$233:$AS243)</f>
        <v>#NUM!</v>
      </c>
    </row>
    <row r="244" spans="43:46">
      <c r="AQ244">
        <v>216</v>
      </c>
      <c r="AR244" s="17" t="e">
        <f t="shared" si="30"/>
        <v>#NUM!</v>
      </c>
      <c r="AS244" s="17">
        <f t="shared" si="31"/>
        <v>-35</v>
      </c>
      <c r="AT244" s="163" t="e">
        <f>SUM(AR$233:$AR244)+SUM(AS$233:$AS244)</f>
        <v>#NUM!</v>
      </c>
    </row>
    <row r="245" spans="43:46">
      <c r="AQ245">
        <v>217</v>
      </c>
      <c r="AR245" s="17" t="e">
        <f t="shared" si="30"/>
        <v>#NUM!</v>
      </c>
      <c r="AS245" s="17">
        <f t="shared" si="31"/>
        <v>-35</v>
      </c>
      <c r="AT245" s="17" t="e">
        <f>SUM(AR$245:$AR245)+SUM(AS$245:$AS245)</f>
        <v>#NUM!</v>
      </c>
    </row>
    <row r="246" spans="43:46">
      <c r="AQ246">
        <v>218</v>
      </c>
      <c r="AR246" s="17" t="e">
        <f t="shared" si="30"/>
        <v>#NUM!</v>
      </c>
      <c r="AS246" s="17">
        <f t="shared" si="31"/>
        <v>-35</v>
      </c>
      <c r="AT246" s="17" t="e">
        <f>SUM(AR$245:$AR246)+SUM(AS$245:$AS246)</f>
        <v>#NUM!</v>
      </c>
    </row>
    <row r="247" spans="43:46">
      <c r="AQ247">
        <v>219</v>
      </c>
      <c r="AR247" s="17" t="e">
        <f t="shared" si="30"/>
        <v>#NUM!</v>
      </c>
      <c r="AS247" s="17">
        <f t="shared" si="31"/>
        <v>-35</v>
      </c>
      <c r="AT247" s="17" t="e">
        <f>SUM(AR$245:$AR247)+SUM(AS$245:$AS247)</f>
        <v>#NUM!</v>
      </c>
    </row>
    <row r="248" spans="43:46">
      <c r="AQ248">
        <v>220</v>
      </c>
      <c r="AR248" s="17" t="e">
        <f t="shared" si="30"/>
        <v>#NUM!</v>
      </c>
      <c r="AS248" s="17">
        <f t="shared" si="31"/>
        <v>-35</v>
      </c>
      <c r="AT248" s="17" t="e">
        <f>SUM(AR$245:$AR248)+SUM(AS$245:$AS248)</f>
        <v>#NUM!</v>
      </c>
    </row>
    <row r="249" spans="43:46">
      <c r="AQ249">
        <v>221</v>
      </c>
      <c r="AR249" s="17" t="e">
        <f t="shared" si="30"/>
        <v>#NUM!</v>
      </c>
      <c r="AS249" s="17">
        <f t="shared" si="31"/>
        <v>-35</v>
      </c>
      <c r="AT249" s="17" t="e">
        <f>SUM(AR$245:$AR249)+SUM(AS$245:$AS249)</f>
        <v>#NUM!</v>
      </c>
    </row>
    <row r="250" spans="43:46">
      <c r="AQ250">
        <v>222</v>
      </c>
      <c r="AR250" s="17" t="e">
        <f t="shared" si="30"/>
        <v>#NUM!</v>
      </c>
      <c r="AS250" s="17">
        <f t="shared" si="31"/>
        <v>-35</v>
      </c>
      <c r="AT250" s="17" t="e">
        <f>SUM(AR$245:$AR250)+SUM(AS$245:$AS250)</f>
        <v>#NUM!</v>
      </c>
    </row>
    <row r="251" spans="43:46">
      <c r="AQ251">
        <v>223</v>
      </c>
      <c r="AR251" s="17" t="e">
        <f t="shared" si="30"/>
        <v>#NUM!</v>
      </c>
      <c r="AS251" s="17">
        <f t="shared" si="31"/>
        <v>-35</v>
      </c>
      <c r="AT251" s="17" t="e">
        <f>SUM(AR$245:$AR251)+SUM(AS$245:$AS251)</f>
        <v>#NUM!</v>
      </c>
    </row>
    <row r="252" spans="43:46">
      <c r="AQ252">
        <v>224</v>
      </c>
      <c r="AR252" s="17" t="e">
        <f t="shared" si="30"/>
        <v>#NUM!</v>
      </c>
      <c r="AS252" s="17">
        <f t="shared" si="31"/>
        <v>-35</v>
      </c>
      <c r="AT252" s="17" t="e">
        <f>SUM(AR$245:$AR252)+SUM(AS$245:$AS252)</f>
        <v>#NUM!</v>
      </c>
    </row>
    <row r="253" spans="43:46">
      <c r="AQ253">
        <v>225</v>
      </c>
      <c r="AR253" s="17" t="e">
        <f t="shared" si="30"/>
        <v>#NUM!</v>
      </c>
      <c r="AS253" s="17">
        <f t="shared" si="31"/>
        <v>-35</v>
      </c>
      <c r="AT253" s="17" t="e">
        <f>SUM(AR$245:$AR253)+SUM(AS$245:$AS253)</f>
        <v>#NUM!</v>
      </c>
    </row>
    <row r="254" spans="43:46">
      <c r="AQ254">
        <v>226</v>
      </c>
      <c r="AR254" s="17" t="e">
        <f t="shared" si="30"/>
        <v>#NUM!</v>
      </c>
      <c r="AS254" s="17">
        <f t="shared" si="31"/>
        <v>-35</v>
      </c>
      <c r="AT254" s="17" t="e">
        <f>SUM(AR$245:$AR254)+SUM(AS$245:$AS254)</f>
        <v>#NUM!</v>
      </c>
    </row>
    <row r="255" spans="43:46">
      <c r="AQ255">
        <v>227</v>
      </c>
      <c r="AR255" s="17" t="e">
        <f t="shared" si="30"/>
        <v>#NUM!</v>
      </c>
      <c r="AS255" s="17">
        <f t="shared" si="31"/>
        <v>-35</v>
      </c>
      <c r="AT255" s="17" t="e">
        <f>SUM(AR$245:$AR255)+SUM(AS$245:$AS255)</f>
        <v>#NUM!</v>
      </c>
    </row>
    <row r="256" spans="43:46">
      <c r="AQ256">
        <v>228</v>
      </c>
      <c r="AR256" s="17" t="e">
        <f t="shared" si="30"/>
        <v>#NUM!</v>
      </c>
      <c r="AS256" s="17">
        <f t="shared" si="31"/>
        <v>-35</v>
      </c>
      <c r="AT256" s="163" t="e">
        <f>SUM(AR$245:$AR256)+SUM(AS$245:$AS256)</f>
        <v>#NUM!</v>
      </c>
    </row>
    <row r="257" spans="43:46">
      <c r="AQ257">
        <v>229</v>
      </c>
      <c r="AR257" s="17" t="e">
        <f t="shared" si="30"/>
        <v>#NUM!</v>
      </c>
      <c r="AS257" s="17">
        <f t="shared" si="31"/>
        <v>-35</v>
      </c>
      <c r="AT257" s="17" t="e">
        <f>SUM(AR$257:$AR257)+SUM(AS$257:$AS257)</f>
        <v>#NUM!</v>
      </c>
    </row>
    <row r="258" spans="43:46">
      <c r="AQ258">
        <v>230</v>
      </c>
      <c r="AR258" s="17" t="e">
        <f t="shared" si="30"/>
        <v>#NUM!</v>
      </c>
      <c r="AS258" s="17">
        <f t="shared" si="31"/>
        <v>-35</v>
      </c>
      <c r="AT258" s="17" t="e">
        <f>SUM(AR$257:$AR258)+SUM(AS$257:$AS258)</f>
        <v>#NUM!</v>
      </c>
    </row>
    <row r="259" spans="43:46">
      <c r="AQ259">
        <v>231</v>
      </c>
      <c r="AR259" s="17" t="e">
        <f t="shared" si="30"/>
        <v>#NUM!</v>
      </c>
      <c r="AS259" s="17">
        <f t="shared" si="31"/>
        <v>-35</v>
      </c>
      <c r="AT259" s="17" t="e">
        <f>SUM(AR$257:$AR259)+SUM(AS$257:$AS259)</f>
        <v>#NUM!</v>
      </c>
    </row>
    <row r="260" spans="43:46">
      <c r="AQ260">
        <v>232</v>
      </c>
      <c r="AR260" s="17" t="e">
        <f t="shared" si="30"/>
        <v>#NUM!</v>
      </c>
      <c r="AS260" s="17">
        <f t="shared" si="31"/>
        <v>-35</v>
      </c>
      <c r="AT260" s="17" t="e">
        <f>SUM(AR$257:$AR260)+SUM(AS$257:$AS260)</f>
        <v>#NUM!</v>
      </c>
    </row>
    <row r="261" spans="43:46">
      <c r="AQ261">
        <v>233</v>
      </c>
      <c r="AR261" s="17" t="e">
        <f t="shared" si="30"/>
        <v>#NUM!</v>
      </c>
      <c r="AS261" s="17">
        <f t="shared" si="31"/>
        <v>-35</v>
      </c>
      <c r="AT261" s="17" t="e">
        <f>SUM(AR$257:$AR261)+SUM(AS$257:$AS261)</f>
        <v>#NUM!</v>
      </c>
    </row>
    <row r="262" spans="43:46">
      <c r="AQ262">
        <v>234</v>
      </c>
      <c r="AR262" s="17" t="e">
        <f t="shared" si="30"/>
        <v>#NUM!</v>
      </c>
      <c r="AS262" s="17">
        <f t="shared" si="31"/>
        <v>-35</v>
      </c>
      <c r="AT262" s="17" t="e">
        <f>SUM(AR$257:$AR262)+SUM(AS$257:$AS262)</f>
        <v>#NUM!</v>
      </c>
    </row>
    <row r="263" spans="43:46">
      <c r="AQ263">
        <v>235</v>
      </c>
      <c r="AR263" s="17" t="e">
        <f t="shared" si="30"/>
        <v>#NUM!</v>
      </c>
      <c r="AS263" s="17">
        <f t="shared" si="31"/>
        <v>-35</v>
      </c>
      <c r="AT263" s="17" t="e">
        <f>SUM(AR$257:$AR263)+SUM(AS$257:$AS263)</f>
        <v>#NUM!</v>
      </c>
    </row>
    <row r="264" spans="43:46">
      <c r="AQ264">
        <v>236</v>
      </c>
      <c r="AR264" s="17" t="e">
        <f t="shared" si="30"/>
        <v>#NUM!</v>
      </c>
      <c r="AS264" s="17">
        <f t="shared" si="31"/>
        <v>-35</v>
      </c>
      <c r="AT264" s="17" t="e">
        <f>SUM(AR$257:$AR264)+SUM(AS$257:$AS264)</f>
        <v>#NUM!</v>
      </c>
    </row>
    <row r="265" spans="43:46">
      <c r="AQ265">
        <v>237</v>
      </c>
      <c r="AR265" s="17" t="e">
        <f t="shared" si="30"/>
        <v>#NUM!</v>
      </c>
      <c r="AS265" s="17">
        <f t="shared" si="31"/>
        <v>-35</v>
      </c>
      <c r="AT265" s="17" t="e">
        <f>SUM(AR$257:$AR265)+SUM(AS$257:$AS265)</f>
        <v>#NUM!</v>
      </c>
    </row>
    <row r="266" spans="43:46">
      <c r="AQ266">
        <v>238</v>
      </c>
      <c r="AR266" s="17" t="e">
        <f t="shared" si="30"/>
        <v>#NUM!</v>
      </c>
      <c r="AS266" s="17">
        <f t="shared" si="31"/>
        <v>-35</v>
      </c>
      <c r="AT266" s="17" t="e">
        <f>SUM(AR$257:$AR266)+SUM(AS$257:$AS266)</f>
        <v>#NUM!</v>
      </c>
    </row>
    <row r="267" spans="43:46">
      <c r="AQ267">
        <v>239</v>
      </c>
      <c r="AR267" s="17" t="e">
        <f t="shared" si="30"/>
        <v>#NUM!</v>
      </c>
      <c r="AS267" s="17">
        <f t="shared" si="31"/>
        <v>-35</v>
      </c>
      <c r="AT267" s="17" t="e">
        <f>SUM(AR$257:$AR267)+SUM(AS$257:$AS267)</f>
        <v>#NUM!</v>
      </c>
    </row>
    <row r="268" spans="43:46">
      <c r="AQ268">
        <v>240</v>
      </c>
      <c r="AR268" s="17" t="e">
        <f>IPMT($E$22/12,AQ268,$V$36*12,$E$21)</f>
        <v>#NUM!</v>
      </c>
      <c r="AS268" s="17">
        <f t="shared" si="31"/>
        <v>-35</v>
      </c>
      <c r="AT268" s="163" t="e">
        <f>SUM(AR$257:$AR268)+SUM(AS$257:$AS268)</f>
        <v>#NUM!</v>
      </c>
    </row>
    <row r="269" spans="43:46">
      <c r="AQ269">
        <v>241</v>
      </c>
      <c r="AR269" s="17" t="e">
        <f t="shared" ref="AR269:AR328" si="32">IPMT($E$22/12,AQ269,$V$36*12,$E$21)</f>
        <v>#NUM!</v>
      </c>
      <c r="AS269" s="17">
        <f t="shared" si="31"/>
        <v>-35</v>
      </c>
      <c r="AT269" s="164" t="e">
        <f>SUM(AR$257:$AR269)+SUM(AS$257:$AS269)</f>
        <v>#NUM!</v>
      </c>
    </row>
    <row r="270" spans="43:46">
      <c r="AQ270">
        <v>242</v>
      </c>
      <c r="AR270" s="17" t="e">
        <f t="shared" si="32"/>
        <v>#NUM!</v>
      </c>
      <c r="AS270" s="17">
        <f t="shared" si="31"/>
        <v>-35</v>
      </c>
      <c r="AT270" s="164" t="e">
        <f>SUM(AR$257:$AR270)+SUM(AS$257:$AS270)</f>
        <v>#NUM!</v>
      </c>
    </row>
    <row r="271" spans="43:46">
      <c r="AQ271">
        <v>243</v>
      </c>
      <c r="AR271" s="17" t="e">
        <f t="shared" si="32"/>
        <v>#NUM!</v>
      </c>
      <c r="AS271" s="17">
        <f t="shared" si="31"/>
        <v>-35</v>
      </c>
      <c r="AT271" s="164" t="e">
        <f>SUM(AR$257:$AR271)+SUM(AS$257:$AS271)</f>
        <v>#NUM!</v>
      </c>
    </row>
    <row r="272" spans="43:46">
      <c r="AQ272">
        <v>244</v>
      </c>
      <c r="AR272" s="17" t="e">
        <f t="shared" si="32"/>
        <v>#NUM!</v>
      </c>
      <c r="AS272" s="17">
        <f t="shared" si="31"/>
        <v>-35</v>
      </c>
      <c r="AT272" s="164" t="e">
        <f>SUM(AR$257:$AR272)+SUM(AS$257:$AS272)</f>
        <v>#NUM!</v>
      </c>
    </row>
    <row r="273" spans="43:46">
      <c r="AQ273">
        <v>245</v>
      </c>
      <c r="AR273" s="17" t="e">
        <f t="shared" si="32"/>
        <v>#NUM!</v>
      </c>
      <c r="AS273" s="17">
        <f t="shared" si="31"/>
        <v>-35</v>
      </c>
      <c r="AT273" s="164" t="e">
        <f>SUM(AR$257:$AR273)+SUM(AS$257:$AS273)</f>
        <v>#NUM!</v>
      </c>
    </row>
    <row r="274" spans="43:46">
      <c r="AQ274">
        <v>246</v>
      </c>
      <c r="AR274" s="17" t="e">
        <f t="shared" si="32"/>
        <v>#NUM!</v>
      </c>
      <c r="AS274" s="17">
        <f t="shared" si="31"/>
        <v>-35</v>
      </c>
      <c r="AT274" s="164" t="e">
        <f>SUM(AR$257:$AR274)+SUM(AS$257:$AS274)</f>
        <v>#NUM!</v>
      </c>
    </row>
    <row r="275" spans="43:46">
      <c r="AQ275">
        <v>247</v>
      </c>
      <c r="AR275" s="17" t="e">
        <f t="shared" si="32"/>
        <v>#NUM!</v>
      </c>
      <c r="AS275" s="17">
        <f t="shared" si="31"/>
        <v>-35</v>
      </c>
      <c r="AT275" s="164" t="e">
        <f>SUM(AR$257:$AR275)+SUM(AS$257:$AS275)</f>
        <v>#NUM!</v>
      </c>
    </row>
    <row r="276" spans="43:46">
      <c r="AQ276">
        <v>248</v>
      </c>
      <c r="AR276" s="17" t="e">
        <f t="shared" si="32"/>
        <v>#NUM!</v>
      </c>
      <c r="AS276" s="17">
        <f t="shared" si="31"/>
        <v>-35</v>
      </c>
      <c r="AT276" s="164" t="e">
        <f>SUM(AR$257:$AR276)+SUM(AS$257:$AS276)</f>
        <v>#NUM!</v>
      </c>
    </row>
    <row r="277" spans="43:46">
      <c r="AQ277">
        <v>249</v>
      </c>
      <c r="AR277" s="17" t="e">
        <f t="shared" si="32"/>
        <v>#NUM!</v>
      </c>
      <c r="AS277" s="17">
        <f t="shared" si="31"/>
        <v>-35</v>
      </c>
      <c r="AT277" s="164" t="e">
        <f>SUM(AR$257:$AR277)+SUM(AS$257:$AS277)</f>
        <v>#NUM!</v>
      </c>
    </row>
    <row r="278" spans="43:46">
      <c r="AQ278">
        <v>250</v>
      </c>
      <c r="AR278" s="17" t="e">
        <f t="shared" si="32"/>
        <v>#NUM!</v>
      </c>
      <c r="AS278" s="17">
        <f t="shared" si="31"/>
        <v>-35</v>
      </c>
      <c r="AT278" s="164" t="e">
        <f>SUM(AR$257:$AR278)+SUM(AS$257:$AS278)</f>
        <v>#NUM!</v>
      </c>
    </row>
    <row r="279" spans="43:46">
      <c r="AQ279">
        <v>251</v>
      </c>
      <c r="AR279" s="17" t="e">
        <f t="shared" si="32"/>
        <v>#NUM!</v>
      </c>
      <c r="AS279" s="17">
        <f t="shared" si="31"/>
        <v>-35</v>
      </c>
      <c r="AT279" s="164" t="e">
        <f>SUM(AR$257:$AR279)+SUM(AS$257:$AS279)</f>
        <v>#NUM!</v>
      </c>
    </row>
    <row r="280" spans="43:46">
      <c r="AQ280">
        <v>252</v>
      </c>
      <c r="AR280" s="17" t="e">
        <f t="shared" si="32"/>
        <v>#NUM!</v>
      </c>
      <c r="AS280" s="17">
        <f t="shared" si="31"/>
        <v>-35</v>
      </c>
      <c r="AT280" s="163" t="e">
        <f>SUM(AR269:AR280)+SUM(AS269:AS280)</f>
        <v>#NUM!</v>
      </c>
    </row>
    <row r="281" spans="43:46">
      <c r="AQ281">
        <v>253</v>
      </c>
      <c r="AR281" s="17" t="e">
        <f t="shared" si="32"/>
        <v>#NUM!</v>
      </c>
      <c r="AS281" s="17">
        <f t="shared" si="31"/>
        <v>-35</v>
      </c>
      <c r="AT281" s="164" t="e">
        <f>SUM(AR$257:$AR281)+SUM(AS$257:$AS281)</f>
        <v>#NUM!</v>
      </c>
    </row>
    <row r="282" spans="43:46">
      <c r="AQ282">
        <v>254</v>
      </c>
      <c r="AR282" s="17" t="e">
        <f t="shared" si="32"/>
        <v>#NUM!</v>
      </c>
      <c r="AS282" s="17">
        <f t="shared" si="31"/>
        <v>-35</v>
      </c>
      <c r="AT282" s="164" t="e">
        <f>SUM(AR$257:$AR282)+SUM(AS$257:$AS282)</f>
        <v>#NUM!</v>
      </c>
    </row>
    <row r="283" spans="43:46">
      <c r="AQ283">
        <v>255</v>
      </c>
      <c r="AR283" s="17" t="e">
        <f t="shared" si="32"/>
        <v>#NUM!</v>
      </c>
      <c r="AS283" s="17">
        <f t="shared" si="31"/>
        <v>-35</v>
      </c>
      <c r="AT283" s="164" t="e">
        <f>SUM(AR$257:$AR283)+SUM(AS$257:$AS283)</f>
        <v>#NUM!</v>
      </c>
    </row>
    <row r="284" spans="43:46">
      <c r="AQ284">
        <v>256</v>
      </c>
      <c r="AR284" s="17" t="e">
        <f t="shared" si="32"/>
        <v>#NUM!</v>
      </c>
      <c r="AS284" s="17">
        <f t="shared" si="31"/>
        <v>-35</v>
      </c>
      <c r="AT284" s="164" t="e">
        <f>SUM(AR$257:$AR284)+SUM(AS$257:$AS284)</f>
        <v>#NUM!</v>
      </c>
    </row>
    <row r="285" spans="43:46">
      <c r="AQ285">
        <v>257</v>
      </c>
      <c r="AR285" s="17" t="e">
        <f t="shared" si="32"/>
        <v>#NUM!</v>
      </c>
      <c r="AS285" s="17">
        <f t="shared" si="31"/>
        <v>-35</v>
      </c>
      <c r="AT285" s="164" t="e">
        <f>SUM(AR$257:$AR285)+SUM(AS$257:$AS285)</f>
        <v>#NUM!</v>
      </c>
    </row>
    <row r="286" spans="43:46">
      <c r="AQ286">
        <v>258</v>
      </c>
      <c r="AR286" s="17" t="e">
        <f t="shared" si="32"/>
        <v>#NUM!</v>
      </c>
      <c r="AS286" s="17">
        <f t="shared" ref="AS286:AS328" si="33">-$E$24</f>
        <v>-35</v>
      </c>
      <c r="AT286" s="164" t="e">
        <f>SUM(AR$257:$AR286)+SUM(AS$257:$AS286)</f>
        <v>#NUM!</v>
      </c>
    </row>
    <row r="287" spans="43:46">
      <c r="AQ287">
        <v>259</v>
      </c>
      <c r="AR287" s="17" t="e">
        <f t="shared" si="32"/>
        <v>#NUM!</v>
      </c>
      <c r="AS287" s="17">
        <f t="shared" si="33"/>
        <v>-35</v>
      </c>
      <c r="AT287" s="164" t="e">
        <f>SUM(AR$257:$AR287)+SUM(AS$257:$AS287)</f>
        <v>#NUM!</v>
      </c>
    </row>
    <row r="288" spans="43:46">
      <c r="AQ288">
        <v>260</v>
      </c>
      <c r="AR288" s="17" t="e">
        <f t="shared" si="32"/>
        <v>#NUM!</v>
      </c>
      <c r="AS288" s="17">
        <f t="shared" si="33"/>
        <v>-35</v>
      </c>
      <c r="AT288" s="164" t="e">
        <f>SUM(AR$257:$AR288)+SUM(AS$257:$AS288)</f>
        <v>#NUM!</v>
      </c>
    </row>
    <row r="289" spans="43:46">
      <c r="AQ289">
        <v>261</v>
      </c>
      <c r="AR289" s="17" t="e">
        <f t="shared" si="32"/>
        <v>#NUM!</v>
      </c>
      <c r="AS289" s="17">
        <f t="shared" si="33"/>
        <v>-35</v>
      </c>
      <c r="AT289" s="164" t="e">
        <f>SUM(AR$257:$AR289)+SUM(AS$257:$AS289)</f>
        <v>#NUM!</v>
      </c>
    </row>
    <row r="290" spans="43:46">
      <c r="AQ290">
        <v>262</v>
      </c>
      <c r="AR290" s="17" t="e">
        <f t="shared" si="32"/>
        <v>#NUM!</v>
      </c>
      <c r="AS290" s="17">
        <f t="shared" si="33"/>
        <v>-35</v>
      </c>
      <c r="AT290" s="164" t="e">
        <f>SUM(AR$257:$AR290)+SUM(AS$257:$AS290)</f>
        <v>#NUM!</v>
      </c>
    </row>
    <row r="291" spans="43:46">
      <c r="AQ291">
        <v>263</v>
      </c>
      <c r="AR291" s="17" t="e">
        <f t="shared" si="32"/>
        <v>#NUM!</v>
      </c>
      <c r="AS291" s="17">
        <f t="shared" si="33"/>
        <v>-35</v>
      </c>
      <c r="AT291" s="164" t="e">
        <f>SUM(AR$257:$AR291)+SUM(AS$257:$AS291)</f>
        <v>#NUM!</v>
      </c>
    </row>
    <row r="292" spans="43:46">
      <c r="AQ292">
        <v>264</v>
      </c>
      <c r="AR292" s="17" t="e">
        <f t="shared" si="32"/>
        <v>#NUM!</v>
      </c>
      <c r="AS292" s="17">
        <f t="shared" si="33"/>
        <v>-35</v>
      </c>
      <c r="AT292" s="163" t="e">
        <f>SUM(AR281:AR292)+SUM(AS281:AS292)</f>
        <v>#NUM!</v>
      </c>
    </row>
    <row r="293" spans="43:46">
      <c r="AQ293">
        <v>265</v>
      </c>
      <c r="AR293" s="17" t="e">
        <f t="shared" si="32"/>
        <v>#NUM!</v>
      </c>
      <c r="AS293" s="17">
        <f t="shared" si="33"/>
        <v>-35</v>
      </c>
      <c r="AT293" s="164" t="e">
        <f>SUM(AR$257:$AR293)+SUM(AS$257:$AS293)</f>
        <v>#NUM!</v>
      </c>
    </row>
    <row r="294" spans="43:46">
      <c r="AQ294">
        <v>266</v>
      </c>
      <c r="AR294" s="17" t="e">
        <f t="shared" si="32"/>
        <v>#NUM!</v>
      </c>
      <c r="AS294" s="17">
        <f t="shared" si="33"/>
        <v>-35</v>
      </c>
      <c r="AT294" s="164" t="e">
        <f>SUM(AR$257:$AR294)+SUM(AS$257:$AS294)</f>
        <v>#NUM!</v>
      </c>
    </row>
    <row r="295" spans="43:46">
      <c r="AQ295">
        <v>267</v>
      </c>
      <c r="AR295" s="17" t="e">
        <f t="shared" si="32"/>
        <v>#NUM!</v>
      </c>
      <c r="AS295" s="17">
        <f t="shared" si="33"/>
        <v>-35</v>
      </c>
      <c r="AT295" s="164" t="e">
        <f>SUM(AR$257:$AR295)+SUM(AS$257:$AS295)</f>
        <v>#NUM!</v>
      </c>
    </row>
    <row r="296" spans="43:46">
      <c r="AQ296">
        <v>268</v>
      </c>
      <c r="AR296" s="17" t="e">
        <f t="shared" si="32"/>
        <v>#NUM!</v>
      </c>
      <c r="AS296" s="17">
        <f t="shared" si="33"/>
        <v>-35</v>
      </c>
      <c r="AT296" s="164" t="e">
        <f>SUM(AR$257:$AR296)+SUM(AS$257:$AS296)</f>
        <v>#NUM!</v>
      </c>
    </row>
    <row r="297" spans="43:46">
      <c r="AQ297">
        <v>269</v>
      </c>
      <c r="AR297" s="17" t="e">
        <f t="shared" si="32"/>
        <v>#NUM!</v>
      </c>
      <c r="AS297" s="17">
        <f t="shared" si="33"/>
        <v>-35</v>
      </c>
      <c r="AT297" s="164" t="e">
        <f>SUM(AR$257:$AR297)+SUM(AS$257:$AS297)</f>
        <v>#NUM!</v>
      </c>
    </row>
    <row r="298" spans="43:46">
      <c r="AQ298">
        <v>270</v>
      </c>
      <c r="AR298" s="17" t="e">
        <f t="shared" si="32"/>
        <v>#NUM!</v>
      </c>
      <c r="AS298" s="17">
        <f t="shared" si="33"/>
        <v>-35</v>
      </c>
      <c r="AT298" s="164" t="e">
        <f>SUM(AR$257:$AR298)+SUM(AS$257:$AS298)</f>
        <v>#NUM!</v>
      </c>
    </row>
    <row r="299" spans="43:46">
      <c r="AQ299">
        <v>271</v>
      </c>
      <c r="AR299" s="17" t="e">
        <f t="shared" si="32"/>
        <v>#NUM!</v>
      </c>
      <c r="AS299" s="17">
        <f t="shared" si="33"/>
        <v>-35</v>
      </c>
      <c r="AT299" s="164" t="e">
        <f>SUM(AR$257:$AR299)+SUM(AS$257:$AS299)</f>
        <v>#NUM!</v>
      </c>
    </row>
    <row r="300" spans="43:46">
      <c r="AQ300">
        <v>272</v>
      </c>
      <c r="AR300" s="17" t="e">
        <f t="shared" si="32"/>
        <v>#NUM!</v>
      </c>
      <c r="AS300" s="17">
        <f t="shared" si="33"/>
        <v>-35</v>
      </c>
      <c r="AT300" s="164" t="e">
        <f>SUM(AR$257:$AR300)+SUM(AS$257:$AS300)</f>
        <v>#NUM!</v>
      </c>
    </row>
    <row r="301" spans="43:46">
      <c r="AQ301">
        <v>273</v>
      </c>
      <c r="AR301" s="17" t="e">
        <f t="shared" si="32"/>
        <v>#NUM!</v>
      </c>
      <c r="AS301" s="17">
        <f t="shared" si="33"/>
        <v>-35</v>
      </c>
      <c r="AT301" s="164" t="e">
        <f>SUM(AR$257:$AR301)+SUM(AS$257:$AS301)</f>
        <v>#NUM!</v>
      </c>
    </row>
    <row r="302" spans="43:46">
      <c r="AQ302">
        <v>274</v>
      </c>
      <c r="AR302" s="17" t="e">
        <f t="shared" si="32"/>
        <v>#NUM!</v>
      </c>
      <c r="AS302" s="17">
        <f t="shared" si="33"/>
        <v>-35</v>
      </c>
      <c r="AT302" s="164" t="e">
        <f>SUM(AR$257:$AR302)+SUM(AS$257:$AS302)</f>
        <v>#NUM!</v>
      </c>
    </row>
    <row r="303" spans="43:46">
      <c r="AQ303">
        <v>275</v>
      </c>
      <c r="AR303" s="17" t="e">
        <f t="shared" si="32"/>
        <v>#NUM!</v>
      </c>
      <c r="AS303" s="17">
        <f t="shared" si="33"/>
        <v>-35</v>
      </c>
      <c r="AT303" s="164" t="e">
        <f>SUM(AR$257:$AR303)+SUM(AS$257:$AS303)</f>
        <v>#NUM!</v>
      </c>
    </row>
    <row r="304" spans="43:46">
      <c r="AQ304">
        <v>276</v>
      </c>
      <c r="AR304" s="17" t="e">
        <f t="shared" si="32"/>
        <v>#NUM!</v>
      </c>
      <c r="AS304" s="17">
        <f t="shared" si="33"/>
        <v>-35</v>
      </c>
      <c r="AT304" s="163" t="e">
        <f>SUM(AR293:AR304)+SUM(AS293:AS304)</f>
        <v>#NUM!</v>
      </c>
    </row>
    <row r="305" spans="43:46">
      <c r="AQ305">
        <v>277</v>
      </c>
      <c r="AR305" s="17" t="e">
        <f t="shared" si="32"/>
        <v>#NUM!</v>
      </c>
      <c r="AS305" s="17">
        <f t="shared" si="33"/>
        <v>-35</v>
      </c>
      <c r="AT305" s="164" t="e">
        <f>SUM(AR$257:$AR305)+SUM(AS$257:$AS305)</f>
        <v>#NUM!</v>
      </c>
    </row>
    <row r="306" spans="43:46">
      <c r="AQ306">
        <v>278</v>
      </c>
      <c r="AR306" s="17" t="e">
        <f t="shared" si="32"/>
        <v>#NUM!</v>
      </c>
      <c r="AS306" s="17">
        <f t="shared" si="33"/>
        <v>-35</v>
      </c>
      <c r="AT306" s="164" t="e">
        <f>SUM(AR$257:$AR306)+SUM(AS$257:$AS306)</f>
        <v>#NUM!</v>
      </c>
    </row>
    <row r="307" spans="43:46">
      <c r="AQ307">
        <v>279</v>
      </c>
      <c r="AR307" s="17" t="e">
        <f t="shared" si="32"/>
        <v>#NUM!</v>
      </c>
      <c r="AS307" s="17">
        <f t="shared" si="33"/>
        <v>-35</v>
      </c>
      <c r="AT307" s="164" t="e">
        <f>SUM(AR$257:$AR307)+SUM(AS$257:$AS307)</f>
        <v>#NUM!</v>
      </c>
    </row>
    <row r="308" spans="43:46">
      <c r="AQ308">
        <v>280</v>
      </c>
      <c r="AR308" s="17" t="e">
        <f t="shared" si="32"/>
        <v>#NUM!</v>
      </c>
      <c r="AS308" s="17">
        <f t="shared" si="33"/>
        <v>-35</v>
      </c>
      <c r="AT308" s="164" t="e">
        <f>SUM(AR$257:$AR308)+SUM(AS$257:$AS308)</f>
        <v>#NUM!</v>
      </c>
    </row>
    <row r="309" spans="43:46">
      <c r="AQ309">
        <v>281</v>
      </c>
      <c r="AR309" s="17" t="e">
        <f t="shared" si="32"/>
        <v>#NUM!</v>
      </c>
      <c r="AS309" s="17">
        <f t="shared" si="33"/>
        <v>-35</v>
      </c>
      <c r="AT309" s="164" t="e">
        <f>SUM(AR$257:$AR309)+SUM(AS$257:$AS309)</f>
        <v>#NUM!</v>
      </c>
    </row>
    <row r="310" spans="43:46">
      <c r="AQ310">
        <v>282</v>
      </c>
      <c r="AR310" s="17" t="e">
        <f t="shared" si="32"/>
        <v>#NUM!</v>
      </c>
      <c r="AS310" s="17">
        <f t="shared" si="33"/>
        <v>-35</v>
      </c>
      <c r="AT310" s="164" t="e">
        <f>SUM(AR$257:$AR310)+SUM(AS$257:$AS310)</f>
        <v>#NUM!</v>
      </c>
    </row>
    <row r="311" spans="43:46">
      <c r="AQ311">
        <v>283</v>
      </c>
      <c r="AR311" s="17" t="e">
        <f t="shared" si="32"/>
        <v>#NUM!</v>
      </c>
      <c r="AS311" s="17">
        <f t="shared" si="33"/>
        <v>-35</v>
      </c>
      <c r="AT311" s="164" t="e">
        <f>SUM(AR$257:$AR311)+SUM(AS$257:$AS311)</f>
        <v>#NUM!</v>
      </c>
    </row>
    <row r="312" spans="43:46">
      <c r="AQ312">
        <v>284</v>
      </c>
      <c r="AR312" s="17" t="e">
        <f t="shared" si="32"/>
        <v>#NUM!</v>
      </c>
      <c r="AS312" s="17">
        <f t="shared" si="33"/>
        <v>-35</v>
      </c>
      <c r="AT312" s="164" t="e">
        <f>SUM(AR$257:$AR312)+SUM(AS$257:$AS312)</f>
        <v>#NUM!</v>
      </c>
    </row>
    <row r="313" spans="43:46">
      <c r="AQ313">
        <v>285</v>
      </c>
      <c r="AR313" s="17" t="e">
        <f t="shared" si="32"/>
        <v>#NUM!</v>
      </c>
      <c r="AS313" s="17">
        <f t="shared" si="33"/>
        <v>-35</v>
      </c>
      <c r="AT313" s="164" t="e">
        <f>SUM(AR$257:$AR313)+SUM(AS$257:$AS313)</f>
        <v>#NUM!</v>
      </c>
    </row>
    <row r="314" spans="43:46">
      <c r="AQ314">
        <v>286</v>
      </c>
      <c r="AR314" s="17" t="e">
        <f t="shared" si="32"/>
        <v>#NUM!</v>
      </c>
      <c r="AS314" s="17">
        <f t="shared" si="33"/>
        <v>-35</v>
      </c>
      <c r="AT314" s="164" t="e">
        <f>SUM(AR$257:$AR314)+SUM(AS$257:$AS314)</f>
        <v>#NUM!</v>
      </c>
    </row>
    <row r="315" spans="43:46">
      <c r="AQ315">
        <v>287</v>
      </c>
      <c r="AR315" s="17" t="e">
        <f t="shared" si="32"/>
        <v>#NUM!</v>
      </c>
      <c r="AS315" s="17">
        <f t="shared" si="33"/>
        <v>-35</v>
      </c>
      <c r="AT315" s="164" t="e">
        <f>SUM(AR$257:$AR315)+SUM(AS$257:$AS315)</f>
        <v>#NUM!</v>
      </c>
    </row>
    <row r="316" spans="43:46">
      <c r="AQ316">
        <v>288</v>
      </c>
      <c r="AR316" s="17" t="e">
        <f t="shared" si="32"/>
        <v>#NUM!</v>
      </c>
      <c r="AS316" s="17">
        <f t="shared" si="33"/>
        <v>-35</v>
      </c>
      <c r="AT316" s="163" t="e">
        <f>SUM(AR305:AR316)+SUM(AS305:AS316)</f>
        <v>#NUM!</v>
      </c>
    </row>
    <row r="317" spans="43:46">
      <c r="AQ317">
        <v>289</v>
      </c>
      <c r="AR317" s="17" t="e">
        <f t="shared" si="32"/>
        <v>#NUM!</v>
      </c>
      <c r="AS317" s="17">
        <f t="shared" si="33"/>
        <v>-35</v>
      </c>
      <c r="AT317" s="164" t="e">
        <f>SUM(AR$257:$AR317)+SUM(AS$257:$AS317)</f>
        <v>#NUM!</v>
      </c>
    </row>
    <row r="318" spans="43:46">
      <c r="AQ318">
        <v>290</v>
      </c>
      <c r="AR318" s="17" t="e">
        <f t="shared" si="32"/>
        <v>#NUM!</v>
      </c>
      <c r="AS318" s="17">
        <f t="shared" si="33"/>
        <v>-35</v>
      </c>
      <c r="AT318" s="164" t="e">
        <f>SUM(AR$257:$AR318)+SUM(AS$257:$AS318)</f>
        <v>#NUM!</v>
      </c>
    </row>
    <row r="319" spans="43:46">
      <c r="AQ319">
        <v>291</v>
      </c>
      <c r="AR319" s="17" t="e">
        <f t="shared" si="32"/>
        <v>#NUM!</v>
      </c>
      <c r="AS319" s="17">
        <f t="shared" si="33"/>
        <v>-35</v>
      </c>
      <c r="AT319" s="164" t="e">
        <f>SUM(AR$257:$AR319)+SUM(AS$257:$AS319)</f>
        <v>#NUM!</v>
      </c>
    </row>
    <row r="320" spans="43:46">
      <c r="AQ320">
        <v>292</v>
      </c>
      <c r="AR320" s="17" t="e">
        <f t="shared" si="32"/>
        <v>#NUM!</v>
      </c>
      <c r="AS320" s="17">
        <f t="shared" si="33"/>
        <v>-35</v>
      </c>
      <c r="AT320" s="164" t="e">
        <f>SUM(AR$257:$AR320)+SUM(AS$257:$AS320)</f>
        <v>#NUM!</v>
      </c>
    </row>
    <row r="321" spans="43:46">
      <c r="AQ321">
        <v>293</v>
      </c>
      <c r="AR321" s="17" t="e">
        <f t="shared" si="32"/>
        <v>#NUM!</v>
      </c>
      <c r="AS321" s="17">
        <f t="shared" si="33"/>
        <v>-35</v>
      </c>
      <c r="AT321" s="164" t="e">
        <f>SUM(AR$257:$AR321)+SUM(AS$257:$AS321)</f>
        <v>#NUM!</v>
      </c>
    </row>
    <row r="322" spans="43:46">
      <c r="AQ322">
        <v>294</v>
      </c>
      <c r="AR322" s="17" t="e">
        <f t="shared" si="32"/>
        <v>#NUM!</v>
      </c>
      <c r="AS322" s="17">
        <f t="shared" si="33"/>
        <v>-35</v>
      </c>
      <c r="AT322" s="164" t="e">
        <f>SUM(AR$257:$AR322)+SUM(AS$257:$AS322)</f>
        <v>#NUM!</v>
      </c>
    </row>
    <row r="323" spans="43:46">
      <c r="AQ323">
        <v>295</v>
      </c>
      <c r="AR323" s="17" t="e">
        <f t="shared" si="32"/>
        <v>#NUM!</v>
      </c>
      <c r="AS323" s="17">
        <f t="shared" si="33"/>
        <v>-35</v>
      </c>
      <c r="AT323" s="164" t="e">
        <f>SUM(AR$257:$AR323)+SUM(AS$257:$AS323)</f>
        <v>#NUM!</v>
      </c>
    </row>
    <row r="324" spans="43:46">
      <c r="AQ324">
        <v>296</v>
      </c>
      <c r="AR324" s="17" t="e">
        <f t="shared" si="32"/>
        <v>#NUM!</v>
      </c>
      <c r="AS324" s="17">
        <f t="shared" si="33"/>
        <v>-35</v>
      </c>
      <c r="AT324" s="164" t="e">
        <f>SUM(AR$257:$AR324)+SUM(AS$257:$AS324)</f>
        <v>#NUM!</v>
      </c>
    </row>
    <row r="325" spans="43:46">
      <c r="AQ325">
        <v>297</v>
      </c>
      <c r="AR325" s="17" t="e">
        <f t="shared" si="32"/>
        <v>#NUM!</v>
      </c>
      <c r="AS325" s="17">
        <f t="shared" si="33"/>
        <v>-35</v>
      </c>
      <c r="AT325" s="164" t="e">
        <f>SUM(AR$257:$AR325)+SUM(AS$257:$AS325)</f>
        <v>#NUM!</v>
      </c>
    </row>
    <row r="326" spans="43:46">
      <c r="AQ326">
        <v>298</v>
      </c>
      <c r="AR326" s="17" t="e">
        <f t="shared" si="32"/>
        <v>#NUM!</v>
      </c>
      <c r="AS326" s="17">
        <f t="shared" si="33"/>
        <v>-35</v>
      </c>
      <c r="AT326" s="164" t="e">
        <f>SUM(AR$257:$AR326)+SUM(AS$257:$AS326)</f>
        <v>#NUM!</v>
      </c>
    </row>
    <row r="327" spans="43:46">
      <c r="AQ327">
        <v>299</v>
      </c>
      <c r="AR327" s="17" t="e">
        <f t="shared" si="32"/>
        <v>#NUM!</v>
      </c>
      <c r="AS327" s="17">
        <f t="shared" si="33"/>
        <v>-35</v>
      </c>
      <c r="AT327" s="164" t="e">
        <f>SUM(AR$257:$AR327)+SUM(AS$257:$AS327)</f>
        <v>#NUM!</v>
      </c>
    </row>
    <row r="328" spans="43:46">
      <c r="AQ328">
        <v>300</v>
      </c>
      <c r="AR328" s="17" t="e">
        <f t="shared" si="32"/>
        <v>#NUM!</v>
      </c>
      <c r="AS328" s="17">
        <f t="shared" si="33"/>
        <v>-35</v>
      </c>
      <c r="AT328" s="163" t="e">
        <f>SUM(AR317:AR328)+SUM(AS317:AS328)</f>
        <v>#NUM!</v>
      </c>
    </row>
  </sheetData>
  <sheetProtection password="8F6C" sheet="1" objects="1" scenarios="1" selectLockedCells="1"/>
  <mergeCells count="42">
    <mergeCell ref="AU31:AW31"/>
    <mergeCell ref="AU32:AW32"/>
    <mergeCell ref="AU33:AW33"/>
    <mergeCell ref="AU34:AW34"/>
    <mergeCell ref="A36:Q36"/>
    <mergeCell ref="G33:I35"/>
    <mergeCell ref="J33:K35"/>
    <mergeCell ref="L33:P35"/>
    <mergeCell ref="B34:D35"/>
    <mergeCell ref="E34:E35"/>
    <mergeCell ref="A37:R37"/>
    <mergeCell ref="A1:Q1"/>
    <mergeCell ref="B3:E3"/>
    <mergeCell ref="G4:N4"/>
    <mergeCell ref="AD24:AF24"/>
    <mergeCell ref="H17:N20"/>
    <mergeCell ref="F20:G20"/>
    <mergeCell ref="B5:D5"/>
    <mergeCell ref="B11:D11"/>
    <mergeCell ref="B9:E9"/>
    <mergeCell ref="B8:D8"/>
    <mergeCell ref="B14:D14"/>
    <mergeCell ref="AA5:AB5"/>
    <mergeCell ref="B12:D12"/>
    <mergeCell ref="G12:G14"/>
    <mergeCell ref="B4:E4"/>
    <mergeCell ref="B19:E19"/>
    <mergeCell ref="AD28:AE28"/>
    <mergeCell ref="AU30:AW30"/>
    <mergeCell ref="B6:D6"/>
    <mergeCell ref="B13:D13"/>
    <mergeCell ref="G8:G10"/>
    <mergeCell ref="R3:R15"/>
    <mergeCell ref="B15:D15"/>
    <mergeCell ref="AD29:AE29"/>
    <mergeCell ref="B22:D22"/>
    <mergeCell ref="B24:D24"/>
    <mergeCell ref="B29:D29"/>
    <mergeCell ref="B27:E27"/>
    <mergeCell ref="B28:D28"/>
    <mergeCell ref="B30:D30"/>
    <mergeCell ref="B20:D20"/>
  </mergeCells>
  <phoneticPr fontId="28" type="noConversion"/>
  <conditionalFormatting sqref="T6:T20">
    <cfRule type="cellIs" dxfId="18" priority="19" operator="equal">
      <formula>$U$21</formula>
    </cfRule>
  </conditionalFormatting>
  <conditionalFormatting sqref="B4:E4">
    <cfRule type="cellIs" dxfId="17" priority="9" stopIfTrue="1" operator="equal">
      <formula>"Le concept nécessite au moins 2 chambres !!!"</formula>
    </cfRule>
    <cfRule type="cellIs" dxfId="16" priority="16" operator="equal">
      <formula>"Le concept nécessite au moins 2 chambres !!!"</formula>
    </cfRule>
  </conditionalFormatting>
  <conditionalFormatting sqref="B7">
    <cfRule type="expression" dxfId="15" priority="22" stopIfTrue="1">
      <formula>$E$7="Concept impossible"</formula>
    </cfRule>
  </conditionalFormatting>
  <conditionalFormatting sqref="B34:D35">
    <cfRule type="cellIs" dxfId="14" priority="10" stopIfTrue="1" operator="equal">
      <formula>"Revenu mensuel moyen"</formula>
    </cfRule>
  </conditionalFormatting>
  <conditionalFormatting sqref="E32">
    <cfRule type="cellIs" dxfId="13" priority="7" stopIfTrue="1" operator="lessThan">
      <formula>0</formula>
    </cfRule>
  </conditionalFormatting>
  <conditionalFormatting sqref="F20:G20">
    <cfRule type="containsText" dxfId="12" priority="5" stopIfTrue="1" operator="containsText" text="!!!">
      <formula>NOT(ISERROR(SEARCH("!!!",F20)))</formula>
    </cfRule>
    <cfRule type="cellIs" dxfId="11" priority="6" stopIfTrue="1" operator="equal">
      <formula>""""""</formula>
    </cfRule>
  </conditionalFormatting>
  <conditionalFormatting sqref="E34:E35">
    <cfRule type="cellIs" dxfId="10" priority="1" stopIfTrue="1" operator="lessThan">
      <formula>0</formula>
    </cfRule>
    <cfRule type="cellIs" dxfId="9" priority="2" stopIfTrue="1" operator="greaterThan">
      <formula>0</formula>
    </cfRule>
  </conditionalFormatting>
  <printOptions horizontalCentered="1" verticalCentered="1"/>
  <pageMargins left="0.43307086614173229" right="0.47244094488188981" top="0.11811023622047245" bottom="0.55118110236220474" header="0.11811023622047245" footer="0.15748031496062992"/>
  <pageSetup paperSize="9" scale="105" orientation="landscape" r:id="rId1"/>
  <drawing r:id="rId2"/>
  <legacyDrawing r:id="rId3"/>
  <controls>
    <control shapeId="1079" r:id="rId4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38"/>
  <sheetViews>
    <sheetView topLeftCell="B1" zoomScaleNormal="100" workbookViewId="0">
      <selection activeCell="E31" sqref="E31"/>
    </sheetView>
  </sheetViews>
  <sheetFormatPr baseColWidth="10" defaultRowHeight="15"/>
  <cols>
    <col min="1" max="1" width="3.85546875" hidden="1" customWidth="1"/>
    <col min="2" max="2" width="8.140625" customWidth="1"/>
    <col min="3" max="3" width="11" customWidth="1"/>
    <col min="4" max="4" width="10.42578125" customWidth="1"/>
    <col min="5" max="5" width="12.5703125" customWidth="1"/>
    <col min="6" max="6" width="11.140625" customWidth="1"/>
    <col min="8" max="8" width="14.85546875" customWidth="1"/>
    <col min="9" max="9" width="12.28515625" customWidth="1"/>
    <col min="10" max="10" width="11" customWidth="1"/>
    <col min="11" max="11" width="10.85546875" customWidth="1"/>
    <col min="12" max="12" width="11.140625" customWidth="1"/>
    <col min="13" max="14" width="11.42578125" hidden="1" customWidth="1"/>
    <col min="15" max="15" width="10.5703125" customWidth="1"/>
    <col min="16" max="16" width="10.28515625" customWidth="1"/>
    <col min="17" max="17" width="8.42578125" customWidth="1"/>
  </cols>
  <sheetData>
    <row r="1" spans="1:17" ht="15" customHeight="1">
      <c r="B1" s="235" t="s">
        <v>87</v>
      </c>
      <c r="C1" s="236"/>
      <c r="D1" s="236"/>
      <c r="E1" s="236"/>
      <c r="F1" s="236"/>
      <c r="G1" s="236"/>
      <c r="H1" s="236"/>
      <c r="I1" s="236"/>
      <c r="J1" s="236"/>
      <c r="K1" s="236"/>
      <c r="L1" s="237"/>
      <c r="O1" s="160"/>
      <c r="P1" s="160"/>
      <c r="Q1" s="160"/>
    </row>
    <row r="2" spans="1:17" ht="15" customHeight="1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40"/>
      <c r="O2" s="160"/>
      <c r="P2" s="160"/>
      <c r="Q2" s="160"/>
    </row>
    <row r="3" spans="1:17" ht="15" customHeight="1" thickBot="1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3"/>
      <c r="O3" s="160"/>
      <c r="P3" s="160"/>
      <c r="Q3" s="160"/>
    </row>
    <row r="4" spans="1:17" ht="15" customHeight="1">
      <c r="B4" s="246" t="s">
        <v>54</v>
      </c>
      <c r="C4" s="244" t="s">
        <v>51</v>
      </c>
      <c r="D4" s="244" t="s">
        <v>20</v>
      </c>
      <c r="E4" s="244" t="s">
        <v>80</v>
      </c>
      <c r="F4" s="244" t="s">
        <v>81</v>
      </c>
      <c r="G4" s="244" t="s">
        <v>55</v>
      </c>
      <c r="H4" s="244" t="s">
        <v>82</v>
      </c>
      <c r="I4" s="244" t="s">
        <v>83</v>
      </c>
      <c r="J4" s="244" t="s">
        <v>84</v>
      </c>
      <c r="K4" s="244" t="s">
        <v>85</v>
      </c>
      <c r="L4" s="233" t="s">
        <v>86</v>
      </c>
      <c r="O4" s="160"/>
      <c r="P4" s="160"/>
      <c r="Q4" s="160"/>
    </row>
    <row r="5" spans="1:17">
      <c r="B5" s="247"/>
      <c r="C5" s="245"/>
      <c r="D5" s="245"/>
      <c r="E5" s="245"/>
      <c r="F5" s="245"/>
      <c r="G5" s="245"/>
      <c r="H5" s="245"/>
      <c r="I5" s="245"/>
      <c r="J5" s="245"/>
      <c r="K5" s="245"/>
      <c r="L5" s="234"/>
      <c r="O5" s="160"/>
      <c r="P5" s="160"/>
      <c r="Q5" s="160"/>
    </row>
    <row r="6" spans="1:17">
      <c r="B6" s="247"/>
      <c r="C6" s="245"/>
      <c r="D6" s="245"/>
      <c r="E6" s="245"/>
      <c r="F6" s="245"/>
      <c r="G6" s="245"/>
      <c r="H6" s="245"/>
      <c r="I6" s="245"/>
      <c r="J6" s="245"/>
      <c r="K6" s="245"/>
      <c r="L6" s="234"/>
      <c r="O6" s="160"/>
      <c r="P6" s="160"/>
      <c r="Q6" s="160"/>
    </row>
    <row r="7" spans="1:17">
      <c r="A7">
        <v>1</v>
      </c>
      <c r="B7" s="122">
        <f ca="1">YEAR(TODAY())</f>
        <v>2015</v>
      </c>
      <c r="C7" s="116">
        <f ca="1">Feuil1!E12*(12-Feuil1!$U$47)</f>
        <v>11656.40859867464</v>
      </c>
      <c r="D7" s="118">
        <f ca="1">Feuil1!E13</f>
        <v>2550.6608178438664</v>
      </c>
      <c r="E7" s="118">
        <f ca="1">Feuil1!E14</f>
        <v>1881.29949894941</v>
      </c>
      <c r="F7" s="118">
        <f>-IF(ISERROR(VLOOKUP(A7*12,Feuil1!$AQ$29:$AT$328,4,FALSE)),0,VLOOKUP(A7*12,Feuil1!$AQ$29:$AT$328,4,FALSE))</f>
        <v>3385.9461318311792</v>
      </c>
      <c r="G7" s="104">
        <f ca="1">C7-D7-E7-F7</f>
        <v>3838.5021500501848</v>
      </c>
      <c r="H7" s="120">
        <f ca="1">VLOOKUP(Feuil1!$U$21,Feuil1!$T$6:$AN$20,19,FALSE)</f>
        <v>5509.5060000000003</v>
      </c>
      <c r="I7" s="121">
        <f ca="1">H7</f>
        <v>5509.5060000000003</v>
      </c>
      <c r="J7" s="120">
        <f ca="1">IF(G7&gt;0,MIN(G7,I7),0)</f>
        <v>3838.5021500501848</v>
      </c>
      <c r="K7" s="121">
        <f ca="1">I7-J7</f>
        <v>1671.0038499498155</v>
      </c>
      <c r="L7" s="123">
        <f t="shared" ref="L7:L36" ca="1" si="0">G7-J7</f>
        <v>0</v>
      </c>
      <c r="M7" s="46">
        <f ca="1">B7</f>
        <v>2015</v>
      </c>
      <c r="N7">
        <f ca="1">IF(L7=0,0,1)</f>
        <v>0</v>
      </c>
      <c r="O7" s="161"/>
      <c r="P7" s="160"/>
      <c r="Q7" s="160"/>
    </row>
    <row r="8" spans="1:17">
      <c r="A8">
        <v>2</v>
      </c>
      <c r="B8" s="122">
        <f ca="1">B7+1</f>
        <v>2016</v>
      </c>
      <c r="C8" s="117">
        <f ca="1">C7*(100%+Feuil1!$Z$41)</f>
        <v>11714.690641668012</v>
      </c>
      <c r="D8" s="119">
        <f ca="1">D7*(100%+Feuil1!$Z$41)</f>
        <v>2563.4141219330854</v>
      </c>
      <c r="E8" s="119">
        <f ca="1">E7*(100%+Feuil1!$Z$41)</f>
        <v>1890.7059964441569</v>
      </c>
      <c r="F8" s="118">
        <f>-IF(ISERROR(VLOOKUP(A8*12,Feuil1!$AQ$29:$AT$328,4,FALSE)),0,VLOOKUP(A8*12,Feuil1!$AQ$29:$AT$328,4,FALSE))</f>
        <v>3195.5561463839631</v>
      </c>
      <c r="G8" s="104">
        <f t="shared" ref="G8:G36" ca="1" si="1">C8-D8-E8-F8</f>
        <v>4065.0143769068072</v>
      </c>
      <c r="H8" s="120">
        <f ca="1">VLOOKUP(Feuil1!$U$21,Feuil1!$T$6:$AN$20,19,FALSE)</f>
        <v>5509.5060000000003</v>
      </c>
      <c r="I8" s="121">
        <f ca="1">H8+K7</f>
        <v>7180.5098499498163</v>
      </c>
      <c r="J8" s="120">
        <f ca="1">IF(G8&gt;0,MIN(G8,I8),0)</f>
        <v>4065.0143769068072</v>
      </c>
      <c r="K8" s="121">
        <f ca="1">I8-J8</f>
        <v>3115.495473043009</v>
      </c>
      <c r="L8" s="123">
        <f t="shared" ca="1" si="0"/>
        <v>0</v>
      </c>
      <c r="M8" s="46">
        <f t="shared" ref="M8:M36" ca="1" si="2">B8</f>
        <v>2016</v>
      </c>
      <c r="N8">
        <f t="shared" ref="N8:N36" ca="1" si="3">IF(L8=0,0,1)</f>
        <v>0</v>
      </c>
      <c r="O8" s="161"/>
      <c r="P8" s="160"/>
      <c r="Q8" s="160"/>
    </row>
    <row r="9" spans="1:17">
      <c r="A9">
        <v>3</v>
      </c>
      <c r="B9" s="122">
        <f t="shared" ref="B9:B36" ca="1" si="4">B8+1</f>
        <v>2017</v>
      </c>
      <c r="C9" s="117">
        <f ca="1">C8*(100%+Feuil1!$Z$41)</f>
        <v>11773.264094876351</v>
      </c>
      <c r="D9" s="119">
        <f ca="1">D8*(100%+Feuil1!$Z$41)</f>
        <v>2576.2311925427507</v>
      </c>
      <c r="E9" s="119">
        <f ca="1">E8*(100%+Feuil1!$Z$41)</f>
        <v>1900.1595264263774</v>
      </c>
      <c r="F9" s="118">
        <f>-IF(ISERROR(VLOOKUP(A9*12,Feuil1!$AQ$29:$AT$328,4,FALSE)),0,VLOOKUP(A9*12,Feuil1!$AQ$29:$AT$328,4,FALSE))</f>
        <v>3000.9739366687263</v>
      </c>
      <c r="G9" s="104">
        <f t="shared" ca="1" si="1"/>
        <v>4295.8994392384957</v>
      </c>
      <c r="H9" s="120">
        <f ca="1">VLOOKUP(Feuil1!$U$21,Feuil1!$T$6:$AN$20,19,FALSE)</f>
        <v>5509.5060000000003</v>
      </c>
      <c r="I9" s="121">
        <f t="shared" ref="I9:I36" ca="1" si="5">H9+K8</f>
        <v>8625.0014730430084</v>
      </c>
      <c r="J9" s="120">
        <f t="shared" ref="J9:J36" ca="1" si="6">IF(G9&gt;0,MIN(G9,I9),0)</f>
        <v>4295.8994392384957</v>
      </c>
      <c r="K9" s="121">
        <f t="shared" ref="K9:K36" ca="1" si="7">I9-J9</f>
        <v>4329.1020338045128</v>
      </c>
      <c r="L9" s="123">
        <f t="shared" ca="1" si="0"/>
        <v>0</v>
      </c>
      <c r="M9" s="46">
        <f t="shared" ca="1" si="2"/>
        <v>2017</v>
      </c>
      <c r="N9">
        <f t="shared" ca="1" si="3"/>
        <v>0</v>
      </c>
      <c r="O9" s="161"/>
      <c r="P9" s="160"/>
      <c r="Q9" s="160"/>
    </row>
    <row r="10" spans="1:17">
      <c r="A10">
        <v>4</v>
      </c>
      <c r="B10" s="122">
        <f t="shared" ca="1" si="4"/>
        <v>2018</v>
      </c>
      <c r="C10" s="117">
        <f ca="1">C9*(100%+Feuil1!$Z$41)</f>
        <v>11832.130415350732</v>
      </c>
      <c r="D10" s="119">
        <f ca="1">D9*(100%+Feuil1!$Z$41)</f>
        <v>2589.1123485054641</v>
      </c>
      <c r="E10" s="119">
        <f ca="1">E9*(100%+Feuil1!$Z$41)</f>
        <v>1909.6603240585091</v>
      </c>
      <c r="F10" s="118">
        <f>-IF(ISERROR(VLOOKUP(A10*12,Feuil1!$AQ$29:$AT$328,4,FALSE)),0,VLOOKUP(A10*12,Feuil1!$AQ$29:$AT$328,4,FALSE))</f>
        <v>2802.1071935008658</v>
      </c>
      <c r="G10" s="104">
        <f t="shared" ca="1" si="1"/>
        <v>4531.2505492858918</v>
      </c>
      <c r="H10" s="120">
        <f ca="1">VLOOKUP(Feuil1!$U$21,Feuil1!$T$6:$AN$20,19,FALSE)</f>
        <v>5509.5060000000003</v>
      </c>
      <c r="I10" s="121">
        <f t="shared" ca="1" si="5"/>
        <v>9838.608033804514</v>
      </c>
      <c r="J10" s="120">
        <f t="shared" ca="1" si="6"/>
        <v>4531.2505492858918</v>
      </c>
      <c r="K10" s="121">
        <f t="shared" ca="1" si="7"/>
        <v>5307.3574845186222</v>
      </c>
      <c r="L10" s="123">
        <f t="shared" ca="1" si="0"/>
        <v>0</v>
      </c>
      <c r="M10" s="46">
        <f t="shared" ca="1" si="2"/>
        <v>2018</v>
      </c>
      <c r="N10">
        <f t="shared" ca="1" si="3"/>
        <v>0</v>
      </c>
      <c r="O10" s="161"/>
      <c r="P10" s="160"/>
      <c r="Q10" s="160"/>
    </row>
    <row r="11" spans="1:17">
      <c r="A11">
        <v>5</v>
      </c>
      <c r="B11" s="122">
        <f t="shared" ca="1" si="4"/>
        <v>2019</v>
      </c>
      <c r="C11" s="117">
        <f ca="1">C10*(100%+Feuil1!$Z$41)</f>
        <v>11891.291067427484</v>
      </c>
      <c r="D11" s="119">
        <f ca="1">D10*(100%+Feuil1!$Z$41)</f>
        <v>2602.057910247991</v>
      </c>
      <c r="E11" s="119">
        <f ca="1">E10*(100%+Feuil1!$Z$41)</f>
        <v>1919.2086256788014</v>
      </c>
      <c r="F11" s="118">
        <f>-IF(ISERROR(VLOOKUP(A11*12,Feuil1!$AQ$29:$AT$328,4,FALSE)),0,VLOOKUP(A11*12,Feuil1!$AQ$29:$AT$328,4,FALSE))</f>
        <v>2598.8615751266625</v>
      </c>
      <c r="G11" s="104">
        <f t="shared" ca="1" si="1"/>
        <v>4771.1629563740289</v>
      </c>
      <c r="H11" s="120">
        <f ca="1">VLOOKUP(Feuil1!$U$21,Feuil1!$T$6:$AN$20,19,FALSE)</f>
        <v>5509.5060000000003</v>
      </c>
      <c r="I11" s="121">
        <f t="shared" ca="1" si="5"/>
        <v>10816.863484518622</v>
      </c>
      <c r="J11" s="120">
        <f t="shared" ca="1" si="6"/>
        <v>4771.1629563740289</v>
      </c>
      <c r="K11" s="121">
        <f t="shared" ca="1" si="7"/>
        <v>6045.7005281445936</v>
      </c>
      <c r="L11" s="123">
        <f t="shared" ca="1" si="0"/>
        <v>0</v>
      </c>
      <c r="M11" s="46">
        <f t="shared" ca="1" si="2"/>
        <v>2019</v>
      </c>
      <c r="N11">
        <f t="shared" ca="1" si="3"/>
        <v>0</v>
      </c>
      <c r="O11" s="161"/>
      <c r="P11" s="160"/>
      <c r="Q11" s="160"/>
    </row>
    <row r="12" spans="1:17">
      <c r="A12">
        <v>6</v>
      </c>
      <c r="B12" s="122">
        <f t="shared" ca="1" si="4"/>
        <v>2020</v>
      </c>
      <c r="C12" s="117">
        <f ca="1">C11*(100%+Feuil1!$Z$41)</f>
        <v>11950.747522764621</v>
      </c>
      <c r="D12" s="119">
        <f ca="1">D11*(100%+Feuil1!$Z$41)</f>
        <v>2615.0681997992306</v>
      </c>
      <c r="E12" s="119">
        <f ca="1">E11*(100%+Feuil1!$Z$41)</f>
        <v>1928.8046688071952</v>
      </c>
      <c r="F12" s="118">
        <f>-IF(ISERROR(VLOOKUP(A12*12,Feuil1!$AQ$29:$AT$328,4,FALSE)),0,VLOOKUP(A12*12,Feuil1!$AQ$29:$AT$328,4,FALSE))</f>
        <v>2391.1406624678589</v>
      </c>
      <c r="G12" s="104">
        <f t="shared" ca="1" si="1"/>
        <v>5015.7339916903366</v>
      </c>
      <c r="H12" s="120">
        <f ca="1">VLOOKUP(Feuil1!$U$21,Feuil1!$T$6:$AN$20,19,FALSE)</f>
        <v>5509.5060000000003</v>
      </c>
      <c r="I12" s="121">
        <f t="shared" ca="1" si="5"/>
        <v>11555.206528144594</v>
      </c>
      <c r="J12" s="120">
        <f t="shared" ca="1" si="6"/>
        <v>5015.7339916903366</v>
      </c>
      <c r="K12" s="121">
        <f t="shared" ca="1" si="7"/>
        <v>6539.4725364542574</v>
      </c>
      <c r="L12" s="123">
        <f t="shared" ca="1" si="0"/>
        <v>0</v>
      </c>
      <c r="M12" s="46">
        <f t="shared" ca="1" si="2"/>
        <v>2020</v>
      </c>
      <c r="N12">
        <f t="shared" ca="1" si="3"/>
        <v>0</v>
      </c>
      <c r="O12" s="161"/>
      <c r="P12" s="160"/>
      <c r="Q12" s="160"/>
    </row>
    <row r="13" spans="1:17">
      <c r="A13">
        <v>7</v>
      </c>
      <c r="B13" s="122">
        <f t="shared" ca="1" si="4"/>
        <v>2021</v>
      </c>
      <c r="C13" s="117">
        <f ca="1">C12*(100%+Feuil1!$Z$41)</f>
        <v>12010.501260378443</v>
      </c>
      <c r="D13" s="119">
        <f ca="1">D12*(100%+Feuil1!$Z$41)</f>
        <v>2628.1435407982262</v>
      </c>
      <c r="E13" s="119">
        <f ca="1">E12*(100%+Feuil1!$Z$41)</f>
        <v>1938.4486921512309</v>
      </c>
      <c r="F13" s="118">
        <f>-IF(ISERROR(VLOOKUP(A13*12,Feuil1!$AQ$29:$AT$328,4,FALSE)),0,VLOOKUP(A13*12,Feuil1!$AQ$29:$AT$328,4,FALSE))</f>
        <v>2178.8459133807478</v>
      </c>
      <c r="G13" s="104">
        <f t="shared" ca="1" si="1"/>
        <v>5265.0631140482383</v>
      </c>
      <c r="H13" s="120">
        <f ca="1">VLOOKUP(Feuil1!$U$21,Feuil1!$T$6:$AN$20,19,FALSE)</f>
        <v>5509.5060000000003</v>
      </c>
      <c r="I13" s="121">
        <f t="shared" ca="1" si="5"/>
        <v>12048.978536454259</v>
      </c>
      <c r="J13" s="120">
        <f t="shared" ca="1" si="6"/>
        <v>5265.0631140482383</v>
      </c>
      <c r="K13" s="121">
        <f t="shared" ca="1" si="7"/>
        <v>6783.9154224060203</v>
      </c>
      <c r="L13" s="123">
        <f t="shared" ca="1" si="0"/>
        <v>0</v>
      </c>
      <c r="M13" s="46">
        <f t="shared" ca="1" si="2"/>
        <v>2021</v>
      </c>
      <c r="N13">
        <f t="shared" ca="1" si="3"/>
        <v>0</v>
      </c>
      <c r="O13" s="161"/>
      <c r="P13" s="160"/>
      <c r="Q13" s="160"/>
    </row>
    <row r="14" spans="1:17">
      <c r="A14">
        <v>8</v>
      </c>
      <c r="B14" s="122">
        <f t="shared" ca="1" si="4"/>
        <v>2022</v>
      </c>
      <c r="C14" s="117">
        <f ca="1">C13*(100%+Feuil1!$Z$41)</f>
        <v>12070.553766680334</v>
      </c>
      <c r="D14" s="119">
        <f ca="1">D13*(100%+Feuil1!$Z$41)</f>
        <v>2641.2842585022172</v>
      </c>
      <c r="E14" s="119">
        <f ca="1">E13*(100%+Feuil1!$Z$41)</f>
        <v>1948.1409356119868</v>
      </c>
      <c r="F14" s="118">
        <f>-IF(ISERROR(VLOOKUP(A14*12,Feuil1!$AQ$29:$AT$328,4,FALSE)),0,VLOOKUP(A14*12,Feuil1!$AQ$29:$AT$328,4,FALSE))</f>
        <v>1961.8766159080888</v>
      </c>
      <c r="G14" s="104">
        <f t="shared" ca="1" si="1"/>
        <v>5519.2519566580413</v>
      </c>
      <c r="H14" s="120">
        <f ca="1">VLOOKUP(Feuil1!$U$21,Feuil1!$T$6:$AN$20,19,FALSE)</f>
        <v>5509.5060000000003</v>
      </c>
      <c r="I14" s="121">
        <f t="shared" ca="1" si="5"/>
        <v>12293.42142240602</v>
      </c>
      <c r="J14" s="120">
        <f t="shared" ca="1" si="6"/>
        <v>5519.2519566580413</v>
      </c>
      <c r="K14" s="121">
        <f t="shared" ca="1" si="7"/>
        <v>6774.1694657479784</v>
      </c>
      <c r="L14" s="123">
        <f t="shared" ca="1" si="0"/>
        <v>0</v>
      </c>
      <c r="M14" s="46">
        <f t="shared" ca="1" si="2"/>
        <v>2022</v>
      </c>
      <c r="N14">
        <f t="shared" ca="1" si="3"/>
        <v>0</v>
      </c>
      <c r="O14" s="161"/>
      <c r="P14" s="160"/>
      <c r="Q14" s="160"/>
    </row>
    <row r="15" spans="1:17">
      <c r="A15">
        <v>9</v>
      </c>
      <c r="B15" s="122">
        <f t="shared" ca="1" si="4"/>
        <v>2023</v>
      </c>
      <c r="C15" s="117">
        <f ca="1">C14*(100%+Feuil1!$Z$41)</f>
        <v>12130.906535513734</v>
      </c>
      <c r="D15" s="119">
        <f ca="1">D14*(100%+Feuil1!$Z$41)</f>
        <v>2654.4906797947278</v>
      </c>
      <c r="E15" s="119">
        <f ca="1">E14*(100%+Feuil1!$Z$41)</f>
        <v>1957.8816402900466</v>
      </c>
      <c r="F15" s="118">
        <f>-IF(ISERROR(VLOOKUP(A15*12,Feuil1!$AQ$29:$AT$328,4,FALSE)),0,VLOOKUP(A15*12,Feuil1!$AQ$29:$AT$328,4,FALSE))</f>
        <v>1740.1298405016869</v>
      </c>
      <c r="G15" s="104">
        <f t="shared" ca="1" si="1"/>
        <v>5778.4043749272723</v>
      </c>
      <c r="H15" s="120">
        <f ca="1">VLOOKUP(Feuil1!$U$21,Feuil1!$T$6:$AN$20,19,FALSE)</f>
        <v>5509.5060000000003</v>
      </c>
      <c r="I15" s="121">
        <f t="shared" ca="1" si="5"/>
        <v>12283.67546574798</v>
      </c>
      <c r="J15" s="120">
        <f t="shared" ca="1" si="6"/>
        <v>5778.4043749272723</v>
      </c>
      <c r="K15" s="121">
        <f t="shared" ca="1" si="7"/>
        <v>6505.2710908207073</v>
      </c>
      <c r="L15" s="123">
        <f t="shared" ca="1" si="0"/>
        <v>0</v>
      </c>
      <c r="M15" s="46">
        <f t="shared" ca="1" si="2"/>
        <v>2023</v>
      </c>
      <c r="N15">
        <f t="shared" ca="1" si="3"/>
        <v>0</v>
      </c>
      <c r="O15" s="161"/>
      <c r="P15" s="160"/>
      <c r="Q15" s="160"/>
    </row>
    <row r="16" spans="1:17">
      <c r="A16">
        <v>10</v>
      </c>
      <c r="B16" s="122">
        <f t="shared" ca="1" si="4"/>
        <v>2024</v>
      </c>
      <c r="C16" s="117">
        <f ca="1">C15*(100%+Feuil1!$Z$41)</f>
        <v>12191.5610681913</v>
      </c>
      <c r="D16" s="119">
        <f ca="1">D15*(100%+Feuil1!$Z$41)</f>
        <v>2667.7631331937014</v>
      </c>
      <c r="E16" s="119">
        <f ca="1">E15*(100%+Feuil1!$Z$41)</f>
        <v>1967.6710484914965</v>
      </c>
      <c r="F16" s="118">
        <f>-IF(ISERROR(VLOOKUP(A16*12,Feuil1!$AQ$29:$AT$328,4,FALSE)),0,VLOOKUP(A16*12,Feuil1!$AQ$29:$AT$328,4,FALSE))</f>
        <v>1513.5003911929214</v>
      </c>
      <c r="G16" s="104">
        <f t="shared" ca="1" si="1"/>
        <v>6042.6264953131813</v>
      </c>
      <c r="H16" s="120">
        <f ca="1">VLOOKUP(Feuil1!$U$21,Feuil1!$T$6:$AN$20,19,FALSE)</f>
        <v>5509.5060000000003</v>
      </c>
      <c r="I16" s="121">
        <f t="shared" ca="1" si="5"/>
        <v>12014.777090820708</v>
      </c>
      <c r="J16" s="120">
        <f t="shared" ca="1" si="6"/>
        <v>6042.6264953131813</v>
      </c>
      <c r="K16" s="121">
        <f t="shared" ca="1" si="7"/>
        <v>5972.1505955075263</v>
      </c>
      <c r="L16" s="123">
        <f t="shared" ca="1" si="0"/>
        <v>0</v>
      </c>
      <c r="M16" s="46">
        <f t="shared" ca="1" si="2"/>
        <v>2024</v>
      </c>
      <c r="N16">
        <f t="shared" ca="1" si="3"/>
        <v>0</v>
      </c>
      <c r="O16" s="161"/>
      <c r="P16" s="160"/>
      <c r="Q16" s="160"/>
    </row>
    <row r="17" spans="1:17">
      <c r="A17">
        <v>11</v>
      </c>
      <c r="B17" s="122">
        <f t="shared" ca="1" si="4"/>
        <v>2025</v>
      </c>
      <c r="C17" s="117">
        <f ca="1">C16*(100%+Feuil1!$Z$41)</f>
        <v>12252.518873532255</v>
      </c>
      <c r="D17" s="119">
        <f ca="1">D16*(100%+Feuil1!$Z$41)</f>
        <v>2681.1019488596694</v>
      </c>
      <c r="E17" s="119">
        <f ca="1">E16*(100%+Feuil1!$Z$41)</f>
        <v>1977.5094037339538</v>
      </c>
      <c r="F17" s="118">
        <f>-IF(ISERROR(VLOOKUP(A17*12,Feuil1!$AQ$29:$AT$328,4,FALSE)),0,VLOOKUP(A17*12,Feuil1!$AQ$29:$AT$328,4,FALSE))</f>
        <v>1281.8807556881295</v>
      </c>
      <c r="G17" s="104">
        <f t="shared" ca="1" si="1"/>
        <v>6312.0267652505036</v>
      </c>
      <c r="H17" s="120">
        <f ca="1">H16-VLOOKUP(Feuil1!$U$21,Feuil1!$T$6:$W$20,4)/10</f>
        <v>4489.5060000000003</v>
      </c>
      <c r="I17" s="121">
        <f t="shared" ca="1" si="5"/>
        <v>10461.656595507528</v>
      </c>
      <c r="J17" s="120">
        <f t="shared" ca="1" si="6"/>
        <v>6312.0267652505036</v>
      </c>
      <c r="K17" s="121">
        <f t="shared" ca="1" si="7"/>
        <v>4149.629830257024</v>
      </c>
      <c r="L17" s="123">
        <f t="shared" ca="1" si="0"/>
        <v>0</v>
      </c>
      <c r="M17" s="46">
        <f t="shared" ca="1" si="2"/>
        <v>2025</v>
      </c>
      <c r="N17">
        <f t="shared" ca="1" si="3"/>
        <v>0</v>
      </c>
      <c r="O17" s="161"/>
      <c r="P17" s="160"/>
      <c r="Q17" s="160"/>
    </row>
    <row r="18" spans="1:17">
      <c r="A18">
        <v>12</v>
      </c>
      <c r="B18" s="122">
        <f t="shared" ca="1" si="4"/>
        <v>2026</v>
      </c>
      <c r="C18" s="117">
        <f ca="1">C17*(100%+Feuil1!$Z$41)</f>
        <v>12313.781467899915</v>
      </c>
      <c r="D18" s="119">
        <f ca="1">D17*(100%+Feuil1!$Z$41)</f>
        <v>2694.5074586039673</v>
      </c>
      <c r="E18" s="119">
        <f ca="1">E17*(100%+Feuil1!$Z$41)</f>
        <v>1987.3969507526233</v>
      </c>
      <c r="F18" s="118">
        <f>-IF(ISERROR(VLOOKUP(A18*12,Feuil1!$AQ$29:$AT$328,4,FALSE)),0,VLOOKUP(A18*12,Feuil1!$AQ$29:$AT$328,4,FALSE))</f>
        <v>1045.1610543651052</v>
      </c>
      <c r="G18" s="104">
        <f t="shared" ca="1" si="1"/>
        <v>6586.7160041782181</v>
      </c>
      <c r="H18" s="120">
        <f ca="1">H17</f>
        <v>4489.5060000000003</v>
      </c>
      <c r="I18" s="121">
        <f t="shared" ca="1" si="5"/>
        <v>8639.1358302570243</v>
      </c>
      <c r="J18" s="120">
        <f t="shared" ca="1" si="6"/>
        <v>6586.7160041782181</v>
      </c>
      <c r="K18" s="121">
        <f t="shared" ca="1" si="7"/>
        <v>2052.4198260788062</v>
      </c>
      <c r="L18" s="123">
        <f t="shared" ca="1" si="0"/>
        <v>0</v>
      </c>
      <c r="M18" s="46">
        <f t="shared" ca="1" si="2"/>
        <v>2026</v>
      </c>
      <c r="N18">
        <f t="shared" ca="1" si="3"/>
        <v>0</v>
      </c>
      <c r="O18" s="161"/>
      <c r="P18" s="160"/>
      <c r="Q18" s="160"/>
    </row>
    <row r="19" spans="1:17">
      <c r="A19">
        <v>13</v>
      </c>
      <c r="B19" s="122">
        <f t="shared" ca="1" si="4"/>
        <v>2027</v>
      </c>
      <c r="C19" s="117">
        <f ca="1">C18*(100%+Feuil1!$Z$41)</f>
        <v>12375.350375239414</v>
      </c>
      <c r="D19" s="119">
        <f ca="1">D18*(100%+Feuil1!$Z$41)</f>
        <v>2707.979995896987</v>
      </c>
      <c r="E19" s="119">
        <f ca="1">E18*(100%+Feuil1!$Z$41)</f>
        <v>1997.3339355063863</v>
      </c>
      <c r="F19" s="118">
        <f>-IF(ISERROR(VLOOKUP(A19*12,Feuil1!$AQ$29:$AT$328,4,FALSE)),0,VLOOKUP(A19*12,Feuil1!$AQ$29:$AT$328,4,FALSE))</f>
        <v>803.22898814655377</v>
      </c>
      <c r="G19" s="104">
        <f t="shared" ca="1" si="1"/>
        <v>6866.8074556894862</v>
      </c>
      <c r="H19" s="120">
        <f t="shared" ref="H19:H36" ca="1" si="8">H18</f>
        <v>4489.5060000000003</v>
      </c>
      <c r="I19" s="121">
        <f t="shared" ca="1" si="5"/>
        <v>6541.9258260788065</v>
      </c>
      <c r="J19" s="120">
        <f t="shared" ca="1" si="6"/>
        <v>6541.9258260788065</v>
      </c>
      <c r="K19" s="121">
        <f t="shared" ca="1" si="7"/>
        <v>0</v>
      </c>
      <c r="L19" s="123">
        <f t="shared" ca="1" si="0"/>
        <v>324.88162961067974</v>
      </c>
      <c r="M19" s="46">
        <f t="shared" ca="1" si="2"/>
        <v>2027</v>
      </c>
      <c r="N19">
        <f t="shared" ca="1" si="3"/>
        <v>1</v>
      </c>
      <c r="O19" s="161"/>
      <c r="P19" s="160"/>
      <c r="Q19" s="160"/>
    </row>
    <row r="20" spans="1:17">
      <c r="A20">
        <v>14</v>
      </c>
      <c r="B20" s="122">
        <f t="shared" ca="1" si="4"/>
        <v>2028</v>
      </c>
      <c r="C20" s="117">
        <f ca="1">C19*(100%+Feuil1!$Z$41)</f>
        <v>12437.22712711561</v>
      </c>
      <c r="D20" s="119">
        <f ca="1">D19*(100%+Feuil1!$Z$41)</f>
        <v>2721.5198958764718</v>
      </c>
      <c r="E20" s="119">
        <f ca="1">E19*(100%+Feuil1!$Z$41)</f>
        <v>2007.3206051839179</v>
      </c>
      <c r="F20" s="118">
        <f>-IF(ISERROR(VLOOKUP(A20*12,Feuil1!$AQ$29:$AT$328,4,FALSE)),0,VLOOKUP(A20*12,Feuil1!$AQ$29:$AT$328,4,FALSE))</f>
        <v>555.96978522576808</v>
      </c>
      <c r="G20" s="104">
        <f t="shared" ca="1" si="1"/>
        <v>7152.4168408294518</v>
      </c>
      <c r="H20" s="120">
        <f t="shared" ca="1" si="8"/>
        <v>4489.5060000000003</v>
      </c>
      <c r="I20" s="121">
        <f t="shared" ca="1" si="5"/>
        <v>4489.5060000000003</v>
      </c>
      <c r="J20" s="120">
        <f t="shared" ca="1" si="6"/>
        <v>4489.5060000000003</v>
      </c>
      <c r="K20" s="121">
        <f t="shared" ca="1" si="7"/>
        <v>0</v>
      </c>
      <c r="L20" s="123">
        <f t="shared" ca="1" si="0"/>
        <v>2662.9108408294514</v>
      </c>
      <c r="M20" s="46">
        <f t="shared" ca="1" si="2"/>
        <v>2028</v>
      </c>
      <c r="N20">
        <f t="shared" ca="1" si="3"/>
        <v>1</v>
      </c>
      <c r="O20" s="161"/>
      <c r="P20" s="160"/>
      <c r="Q20" s="160"/>
    </row>
    <row r="21" spans="1:17">
      <c r="A21">
        <v>15</v>
      </c>
      <c r="B21" s="122">
        <f t="shared" ca="1" si="4"/>
        <v>2029</v>
      </c>
      <c r="C21" s="117">
        <f ca="1">C20*(100%+Feuil1!$Z$41)</f>
        <v>12499.413262751186</v>
      </c>
      <c r="D21" s="119">
        <f ca="1">D20*(100%+Feuil1!$Z$41)</f>
        <v>2735.1274953558536</v>
      </c>
      <c r="E21" s="119">
        <f ca="1">E20*(100%+Feuil1!$Z$41)</f>
        <v>2017.3572082098374</v>
      </c>
      <c r="F21" s="118">
        <f>-IF(ISERROR(VLOOKUP(A21*12,Feuil1!$AQ$29:$AT$328,4,FALSE)),0,VLOOKUP(A21*12,Feuil1!$AQ$29:$AT$328,4,FALSE))</f>
        <v>0</v>
      </c>
      <c r="G21" s="104">
        <f t="shared" ca="1" si="1"/>
        <v>7746.9285591854959</v>
      </c>
      <c r="H21" s="120">
        <f t="shared" ca="1" si="8"/>
        <v>4489.5060000000003</v>
      </c>
      <c r="I21" s="121">
        <f t="shared" ca="1" si="5"/>
        <v>4489.5060000000003</v>
      </c>
      <c r="J21" s="120">
        <f t="shared" ca="1" si="6"/>
        <v>4489.5060000000003</v>
      </c>
      <c r="K21" s="121">
        <f t="shared" ca="1" si="7"/>
        <v>0</v>
      </c>
      <c r="L21" s="123">
        <f t="shared" ca="1" si="0"/>
        <v>3257.4225591854956</v>
      </c>
      <c r="M21" s="46">
        <f t="shared" ca="1" si="2"/>
        <v>2029</v>
      </c>
      <c r="N21">
        <f t="shared" ca="1" si="3"/>
        <v>1</v>
      </c>
      <c r="O21" s="161"/>
      <c r="P21" s="160"/>
      <c r="Q21" s="160"/>
    </row>
    <row r="22" spans="1:17">
      <c r="A22">
        <v>16</v>
      </c>
      <c r="B22" s="122">
        <f t="shared" ca="1" si="4"/>
        <v>2030</v>
      </c>
      <c r="C22" s="117">
        <f ca="1">C21*(100%+Feuil1!$Z$41)</f>
        <v>12561.91032906494</v>
      </c>
      <c r="D22" s="119">
        <f ca="1">D21*(100%+Feuil1!$Z$41)</f>
        <v>2748.8031328326324</v>
      </c>
      <c r="E22" s="119">
        <f ca="1">E21*(100%+Feuil1!$Z$41)</f>
        <v>2027.4439942508864</v>
      </c>
      <c r="F22" s="118">
        <f>-IF(ISERROR(VLOOKUP(A22*12,Feuil1!$AQ$29:$AT$328,4,FALSE)),0,VLOOKUP(A22*12,Feuil1!$AQ$29:$AT$328,4,FALSE))</f>
        <v>0</v>
      </c>
      <c r="G22" s="104">
        <f t="shared" ca="1" si="1"/>
        <v>7785.6632019814215</v>
      </c>
      <c r="H22" s="120">
        <f t="shared" ca="1" si="8"/>
        <v>4489.5060000000003</v>
      </c>
      <c r="I22" s="121">
        <f t="shared" ca="1" si="5"/>
        <v>4489.5060000000003</v>
      </c>
      <c r="J22" s="120">
        <f t="shared" ca="1" si="6"/>
        <v>4489.5060000000003</v>
      </c>
      <c r="K22" s="121">
        <f t="shared" ca="1" si="7"/>
        <v>0</v>
      </c>
      <c r="L22" s="123">
        <f t="shared" ca="1" si="0"/>
        <v>3296.1572019814212</v>
      </c>
      <c r="M22" s="46">
        <f t="shared" ca="1" si="2"/>
        <v>2030</v>
      </c>
      <c r="N22">
        <f t="shared" ca="1" si="3"/>
        <v>1</v>
      </c>
      <c r="O22" s="161"/>
      <c r="P22" s="160"/>
      <c r="Q22" s="160"/>
    </row>
    <row r="23" spans="1:17">
      <c r="A23">
        <v>17</v>
      </c>
      <c r="B23" s="122">
        <f t="shared" ca="1" si="4"/>
        <v>2031</v>
      </c>
      <c r="C23" s="117">
        <f ca="1">C22*(100%+Feuil1!$Z$41)</f>
        <v>12624.719880710263</v>
      </c>
      <c r="D23" s="119">
        <f ca="1">D22*(100%+Feuil1!$Z$41)</f>
        <v>2762.5471484967952</v>
      </c>
      <c r="E23" s="119">
        <f ca="1">E22*(100%+Feuil1!$Z$41)</f>
        <v>2037.5812142221405</v>
      </c>
      <c r="F23" s="118">
        <f>-IF(ISERROR(VLOOKUP(A23*12,Feuil1!$AQ$29:$AT$328,4,FALSE)),0,VLOOKUP(A23*12,Feuil1!$AQ$29:$AT$328,4,FALSE))</f>
        <v>0</v>
      </c>
      <c r="G23" s="104">
        <f t="shared" ca="1" si="1"/>
        <v>7824.5915179913281</v>
      </c>
      <c r="H23" s="120">
        <f t="shared" ca="1" si="8"/>
        <v>4489.5060000000003</v>
      </c>
      <c r="I23" s="121">
        <f t="shared" ca="1" si="5"/>
        <v>4489.5060000000003</v>
      </c>
      <c r="J23" s="120">
        <f t="shared" ca="1" si="6"/>
        <v>4489.5060000000003</v>
      </c>
      <c r="K23" s="121">
        <f t="shared" ca="1" si="7"/>
        <v>0</v>
      </c>
      <c r="L23" s="123">
        <f t="shared" ca="1" si="0"/>
        <v>3335.0855179913278</v>
      </c>
      <c r="M23" s="46">
        <f t="shared" ca="1" si="2"/>
        <v>2031</v>
      </c>
      <c r="N23">
        <f t="shared" ca="1" si="3"/>
        <v>1</v>
      </c>
      <c r="O23" s="161"/>
      <c r="P23" s="160"/>
      <c r="Q23" s="160"/>
    </row>
    <row r="24" spans="1:17">
      <c r="A24">
        <v>18</v>
      </c>
      <c r="B24" s="122">
        <f t="shared" ca="1" si="4"/>
        <v>2032</v>
      </c>
      <c r="C24" s="117">
        <f ca="1">C23*(100%+Feuil1!$Z$41)</f>
        <v>12687.843480113814</v>
      </c>
      <c r="D24" s="119">
        <f ca="1">D23*(100%+Feuil1!$Z$41)</f>
        <v>2776.3598842392789</v>
      </c>
      <c r="E24" s="119">
        <f ca="1">E23*(100%+Feuil1!$Z$41)</f>
        <v>2047.769120293251</v>
      </c>
      <c r="F24" s="118">
        <f>-IF(ISERROR(VLOOKUP(A24*12,Feuil1!$AQ$29:$AT$328,4,FALSE)),0,VLOOKUP(A24*12,Feuil1!$AQ$29:$AT$328,4,FALSE))</f>
        <v>0</v>
      </c>
      <c r="G24" s="104">
        <f t="shared" ca="1" si="1"/>
        <v>7863.7144755812842</v>
      </c>
      <c r="H24" s="120">
        <f t="shared" ca="1" si="8"/>
        <v>4489.5060000000003</v>
      </c>
      <c r="I24" s="121">
        <f t="shared" ca="1" si="5"/>
        <v>4489.5060000000003</v>
      </c>
      <c r="J24" s="120">
        <f t="shared" ca="1" si="6"/>
        <v>4489.5060000000003</v>
      </c>
      <c r="K24" s="121">
        <f t="shared" ca="1" si="7"/>
        <v>0</v>
      </c>
      <c r="L24" s="123">
        <f t="shared" ca="1" si="0"/>
        <v>3374.2084755812839</v>
      </c>
      <c r="M24" s="46">
        <f t="shared" ca="1" si="2"/>
        <v>2032</v>
      </c>
      <c r="N24">
        <f t="shared" ca="1" si="3"/>
        <v>1</v>
      </c>
      <c r="O24" s="161"/>
      <c r="P24" s="160"/>
      <c r="Q24" s="160"/>
    </row>
    <row r="25" spans="1:17">
      <c r="A25">
        <v>19</v>
      </c>
      <c r="B25" s="122">
        <f t="shared" ca="1" si="4"/>
        <v>2033</v>
      </c>
      <c r="C25" s="117">
        <f ca="1">C24*(100%+Feuil1!$Z$41)</f>
        <v>12751.282697514382</v>
      </c>
      <c r="D25" s="119">
        <f ca="1">D24*(100%+Feuil1!$Z$41)</f>
        <v>2790.2416836604752</v>
      </c>
      <c r="E25" s="119">
        <f ca="1">E24*(100%+Feuil1!$Z$41)</f>
        <v>2058.007965894717</v>
      </c>
      <c r="F25" s="118">
        <f>-IF(ISERROR(VLOOKUP(A25*12,Feuil1!$AQ$29:$AT$328,4,FALSE)),0,VLOOKUP(A25*12,Feuil1!$AQ$29:$AT$328,4,FALSE))</f>
        <v>0</v>
      </c>
      <c r="G25" s="104">
        <f t="shared" ca="1" si="1"/>
        <v>7903.0330479591894</v>
      </c>
      <c r="H25" s="120">
        <f t="shared" ca="1" si="8"/>
        <v>4489.5060000000003</v>
      </c>
      <c r="I25" s="121">
        <f t="shared" ca="1" si="5"/>
        <v>4489.5060000000003</v>
      </c>
      <c r="J25" s="120">
        <f t="shared" ca="1" si="6"/>
        <v>4489.5060000000003</v>
      </c>
      <c r="K25" s="121">
        <f t="shared" ca="1" si="7"/>
        <v>0</v>
      </c>
      <c r="L25" s="123">
        <f t="shared" ca="1" si="0"/>
        <v>3413.5270479591891</v>
      </c>
      <c r="M25" s="46">
        <f t="shared" ca="1" si="2"/>
        <v>2033</v>
      </c>
      <c r="N25">
        <f t="shared" ca="1" si="3"/>
        <v>1</v>
      </c>
      <c r="O25" s="161"/>
      <c r="P25" s="160"/>
      <c r="Q25" s="160"/>
    </row>
    <row r="26" spans="1:17">
      <c r="A26">
        <v>20</v>
      </c>
      <c r="B26" s="122">
        <f t="shared" ca="1" si="4"/>
        <v>2034</v>
      </c>
      <c r="C26" s="117">
        <f ca="1">C25*(100%+Feuil1!$Z$41)</f>
        <v>12815.039111001952</v>
      </c>
      <c r="D26" s="119">
        <f ca="1">D25*(100%+Feuil1!$Z$41)</f>
        <v>2804.1928920787773</v>
      </c>
      <c r="E26" s="119">
        <f ca="1">E25*(100%+Feuil1!$Z$41)</f>
        <v>2068.2980057241903</v>
      </c>
      <c r="F26" s="118">
        <f>-IF(ISERROR(VLOOKUP(A26*12,Feuil1!$AQ$29:$AT$328,4,FALSE)),0,VLOOKUP(A26*12,Feuil1!$AQ$29:$AT$328,4,FALSE))</f>
        <v>0</v>
      </c>
      <c r="G26" s="104">
        <f t="shared" ca="1" si="1"/>
        <v>7942.5482131989838</v>
      </c>
      <c r="H26" s="120">
        <f t="shared" ca="1" si="8"/>
        <v>4489.5060000000003</v>
      </c>
      <c r="I26" s="121">
        <f t="shared" ca="1" si="5"/>
        <v>4489.5060000000003</v>
      </c>
      <c r="J26" s="120">
        <f t="shared" ca="1" si="6"/>
        <v>4489.5060000000003</v>
      </c>
      <c r="K26" s="121">
        <f t="shared" ca="1" si="7"/>
        <v>0</v>
      </c>
      <c r="L26" s="123">
        <f t="shared" ca="1" si="0"/>
        <v>3453.0422131989835</v>
      </c>
      <c r="M26" s="46">
        <f t="shared" ca="1" si="2"/>
        <v>2034</v>
      </c>
      <c r="N26">
        <f t="shared" ca="1" si="3"/>
        <v>1</v>
      </c>
      <c r="O26" s="161"/>
      <c r="P26" s="160"/>
      <c r="Q26" s="160"/>
    </row>
    <row r="27" spans="1:17">
      <c r="A27">
        <v>21</v>
      </c>
      <c r="B27" s="122">
        <f t="shared" ca="1" si="4"/>
        <v>2035</v>
      </c>
      <c r="C27" s="117">
        <f ca="1">C26*(100%+Feuil1!$Z$41)</f>
        <v>12879.114306556959</v>
      </c>
      <c r="D27" s="119">
        <f ca="1">D26*(100%+Feuil1!$Z$41)</f>
        <v>2818.213856539171</v>
      </c>
      <c r="E27" s="119">
        <f ca="1">E26*(100%+Feuil1!$Z$41)</f>
        <v>2078.6394957528109</v>
      </c>
      <c r="F27" s="118">
        <f>-IF(ISERROR(VLOOKUP(A27*12,Feuil1!$AQ$29:$AT$328,4,FALSE)),0,VLOOKUP(A27*12,Feuil1!$AQ$29:$AT$328,4,FALSE))</f>
        <v>0</v>
      </c>
      <c r="G27" s="104">
        <f t="shared" ca="1" si="1"/>
        <v>7982.260954264978</v>
      </c>
      <c r="H27" s="120">
        <f t="shared" ca="1" si="8"/>
        <v>4489.5060000000003</v>
      </c>
      <c r="I27" s="121">
        <f t="shared" ca="1" si="5"/>
        <v>4489.5060000000003</v>
      </c>
      <c r="J27" s="120">
        <f t="shared" ca="1" si="6"/>
        <v>4489.5060000000003</v>
      </c>
      <c r="K27" s="121">
        <f t="shared" ca="1" si="7"/>
        <v>0</v>
      </c>
      <c r="L27" s="123">
        <f t="shared" ca="1" si="0"/>
        <v>3492.7549542649776</v>
      </c>
      <c r="M27" s="46">
        <f t="shared" ca="1" si="2"/>
        <v>2035</v>
      </c>
      <c r="N27">
        <f t="shared" ca="1" si="3"/>
        <v>1</v>
      </c>
      <c r="O27" s="161"/>
      <c r="P27" s="160"/>
      <c r="Q27" s="160"/>
    </row>
    <row r="28" spans="1:17">
      <c r="A28">
        <v>22</v>
      </c>
      <c r="B28" s="122">
        <f t="shared" ca="1" si="4"/>
        <v>2036</v>
      </c>
      <c r="C28" s="117">
        <f ca="1">C27*(100%+Feuil1!$Z$41)</f>
        <v>12943.509878089742</v>
      </c>
      <c r="D28" s="119">
        <f ca="1">D27*(100%+Feuil1!$Z$41)</f>
        <v>2832.3049258218666</v>
      </c>
      <c r="E28" s="119">
        <f ca="1">E27*(100%+Feuil1!$Z$41)</f>
        <v>2089.0326932315747</v>
      </c>
      <c r="F28" s="118">
        <f>-IF(ISERROR(VLOOKUP(A28*12,Feuil1!$AQ$29:$AT$328,4,FALSE)),0,VLOOKUP(A28*12,Feuil1!$AQ$29:$AT$328,4,FALSE))</f>
        <v>0</v>
      </c>
      <c r="G28" s="104">
        <f t="shared" ca="1" si="1"/>
        <v>8022.1722590363006</v>
      </c>
      <c r="H28" s="120">
        <f t="shared" ca="1" si="8"/>
        <v>4489.5060000000003</v>
      </c>
      <c r="I28" s="121">
        <f t="shared" ca="1" si="5"/>
        <v>4489.5060000000003</v>
      </c>
      <c r="J28" s="120">
        <f t="shared" ca="1" si="6"/>
        <v>4489.5060000000003</v>
      </c>
      <c r="K28" s="121">
        <f t="shared" ca="1" si="7"/>
        <v>0</v>
      </c>
      <c r="L28" s="123">
        <f t="shared" ca="1" si="0"/>
        <v>3532.6662590363003</v>
      </c>
      <c r="M28" s="46">
        <f t="shared" ca="1" si="2"/>
        <v>2036</v>
      </c>
      <c r="N28">
        <f t="shared" ca="1" si="3"/>
        <v>1</v>
      </c>
      <c r="O28" s="232" t="s">
        <v>94</v>
      </c>
      <c r="P28" s="232"/>
      <c r="Q28" s="232"/>
    </row>
    <row r="29" spans="1:17">
      <c r="A29">
        <v>23</v>
      </c>
      <c r="B29" s="122">
        <f t="shared" ca="1" si="4"/>
        <v>2037</v>
      </c>
      <c r="C29" s="117">
        <f ca="1">C28*(100%+Feuil1!$Z$41)</f>
        <v>13008.227427480189</v>
      </c>
      <c r="D29" s="119">
        <f ca="1">D28*(100%+Feuil1!$Z$41)</f>
        <v>2846.4664504509756</v>
      </c>
      <c r="E29" s="119">
        <f ca="1">E28*(100%+Feuil1!$Z$41)</f>
        <v>2099.4778566977325</v>
      </c>
      <c r="F29" s="118">
        <f>-IF(ISERROR(VLOOKUP(A29*12,Feuil1!$AQ$29:$AT$328,4,FALSE)),0,VLOOKUP(A29*12,Feuil1!$AQ$29:$AT$328,4,FALSE))</f>
        <v>0</v>
      </c>
      <c r="G29" s="104">
        <f t="shared" ca="1" si="1"/>
        <v>8062.2831203314818</v>
      </c>
      <c r="H29" s="120">
        <f t="shared" ca="1" si="8"/>
        <v>4489.5060000000003</v>
      </c>
      <c r="I29" s="121">
        <f t="shared" ca="1" si="5"/>
        <v>4489.5060000000003</v>
      </c>
      <c r="J29" s="120">
        <f t="shared" ca="1" si="6"/>
        <v>4489.5060000000003</v>
      </c>
      <c r="K29" s="121">
        <f t="shared" ca="1" si="7"/>
        <v>0</v>
      </c>
      <c r="L29" s="123">
        <f t="shared" ca="1" si="0"/>
        <v>3572.7771203314815</v>
      </c>
      <c r="M29" s="46">
        <f t="shared" ca="1" si="2"/>
        <v>2037</v>
      </c>
      <c r="N29">
        <f t="shared" ca="1" si="3"/>
        <v>1</v>
      </c>
      <c r="O29" s="230" t="s">
        <v>95</v>
      </c>
      <c r="P29" s="231"/>
      <c r="Q29" s="231"/>
    </row>
    <row r="30" spans="1:17">
      <c r="A30">
        <v>24</v>
      </c>
      <c r="B30" s="122">
        <f t="shared" ca="1" si="4"/>
        <v>2038</v>
      </c>
      <c r="C30" s="117">
        <f ca="1">C29*(100%+Feuil1!$Z$41)</f>
        <v>13073.268564617589</v>
      </c>
      <c r="D30" s="119">
        <f ca="1">D29*(100%+Feuil1!$Z$41)</f>
        <v>2860.6987827032303</v>
      </c>
      <c r="E30" s="119">
        <f ca="1">E29*(100%+Feuil1!$Z$41)</f>
        <v>2109.9752459812207</v>
      </c>
      <c r="F30" s="118">
        <f>-IF(ISERROR(VLOOKUP(A30*12,Feuil1!$AQ$29:$AT$328,4,FALSE)),0,VLOOKUP(A30*12,Feuil1!$AQ$29:$AT$328,4,FALSE))</f>
        <v>0</v>
      </c>
      <c r="G30" s="104">
        <f t="shared" ca="1" si="1"/>
        <v>8102.5945359331381</v>
      </c>
      <c r="H30" s="120">
        <f t="shared" ca="1" si="8"/>
        <v>4489.5060000000003</v>
      </c>
      <c r="I30" s="121">
        <f t="shared" ca="1" si="5"/>
        <v>4489.5060000000003</v>
      </c>
      <c r="J30" s="120">
        <f t="shared" ca="1" si="6"/>
        <v>4489.5060000000003</v>
      </c>
      <c r="K30" s="121">
        <f t="shared" ca="1" si="7"/>
        <v>0</v>
      </c>
      <c r="L30" s="123">
        <f t="shared" ca="1" si="0"/>
        <v>3613.0885359331378</v>
      </c>
      <c r="M30" s="46">
        <f t="shared" ca="1" si="2"/>
        <v>2038</v>
      </c>
      <c r="N30">
        <f t="shared" ca="1" si="3"/>
        <v>1</v>
      </c>
      <c r="O30" s="231"/>
      <c r="P30" s="231"/>
      <c r="Q30" s="231"/>
    </row>
    <row r="31" spans="1:17">
      <c r="A31">
        <v>25</v>
      </c>
      <c r="B31" s="122">
        <f t="shared" ca="1" si="4"/>
        <v>2039</v>
      </c>
      <c r="C31" s="117">
        <f ca="1">C30*(100%+Feuil1!$Z$41)</f>
        <v>13138.634907440675</v>
      </c>
      <c r="D31" s="119">
        <f ca="1">D30*(100%+Feuil1!$Z$41)</f>
        <v>2875.0022766167463</v>
      </c>
      <c r="E31" s="119">
        <f ca="1">E30*(100%+Feuil1!$Z$41)</f>
        <v>2120.5251222111265</v>
      </c>
      <c r="F31" s="118">
        <f>-IF(ISERROR(VLOOKUP(A31*12,Feuil1!$AQ$29:$AT$328,4,FALSE)),0,VLOOKUP(A31*12,Feuil1!$AQ$29:$AT$328,4,FALSE))</f>
        <v>0</v>
      </c>
      <c r="G31" s="104">
        <f t="shared" ca="1" si="1"/>
        <v>8143.107508612803</v>
      </c>
      <c r="H31" s="120">
        <f t="shared" ca="1" si="8"/>
        <v>4489.5060000000003</v>
      </c>
      <c r="I31" s="121">
        <f t="shared" ca="1" si="5"/>
        <v>4489.5060000000003</v>
      </c>
      <c r="J31" s="120">
        <f t="shared" ca="1" si="6"/>
        <v>4489.5060000000003</v>
      </c>
      <c r="K31" s="121">
        <f t="shared" ca="1" si="7"/>
        <v>0</v>
      </c>
      <c r="L31" s="123">
        <f t="shared" ca="1" si="0"/>
        <v>3653.6015086128027</v>
      </c>
      <c r="M31" s="46">
        <f t="shared" ca="1" si="2"/>
        <v>2039</v>
      </c>
      <c r="N31">
        <f t="shared" ca="1" si="3"/>
        <v>1</v>
      </c>
      <c r="O31" s="231"/>
      <c r="P31" s="231"/>
      <c r="Q31" s="231"/>
    </row>
    <row r="32" spans="1:17">
      <c r="A32">
        <v>26</v>
      </c>
      <c r="B32" s="122">
        <f t="shared" ca="1" si="4"/>
        <v>2040</v>
      </c>
      <c r="C32" s="117">
        <f ca="1">C31*(100%+Feuil1!$Z$41)</f>
        <v>13204.328081977877</v>
      </c>
      <c r="D32" s="119">
        <f ca="1">D31*(100%+Feuil1!$Z$41)</f>
        <v>2889.3772879998296</v>
      </c>
      <c r="E32" s="119">
        <f ca="1">E31*(100%+Feuil1!$Z$41)</f>
        <v>2131.1277478221818</v>
      </c>
      <c r="F32" s="118">
        <f>-IF(ISERROR(VLOOKUP(A32*12,Feuil1!$AQ$29:$AT$328,4,FALSE)),0,VLOOKUP(A32*12,Feuil1!$AQ$29:$AT$328,4,FALSE))</f>
        <v>0</v>
      </c>
      <c r="G32" s="104">
        <f t="shared" ca="1" si="1"/>
        <v>8183.8230461558669</v>
      </c>
      <c r="H32" s="120">
        <f t="shared" ca="1" si="8"/>
        <v>4489.5060000000003</v>
      </c>
      <c r="I32" s="121">
        <f t="shared" ca="1" si="5"/>
        <v>4489.5060000000003</v>
      </c>
      <c r="J32" s="120">
        <f t="shared" ca="1" si="6"/>
        <v>4489.5060000000003</v>
      </c>
      <c r="K32" s="121">
        <f t="shared" ca="1" si="7"/>
        <v>0</v>
      </c>
      <c r="L32" s="123">
        <f t="shared" ca="1" si="0"/>
        <v>3694.3170461558666</v>
      </c>
      <c r="M32" s="46">
        <f t="shared" ca="1" si="2"/>
        <v>2040</v>
      </c>
      <c r="N32">
        <f t="shared" ca="1" si="3"/>
        <v>1</v>
      </c>
      <c r="O32" s="231"/>
      <c r="P32" s="231"/>
      <c r="Q32" s="231"/>
    </row>
    <row r="33" spans="1:17">
      <c r="A33">
        <v>27</v>
      </c>
      <c r="B33" s="122">
        <f t="shared" ca="1" si="4"/>
        <v>2041</v>
      </c>
      <c r="C33" s="117">
        <f ca="1">C32*(100%+Feuil1!$Z$41)</f>
        <v>13270.349722387766</v>
      </c>
      <c r="D33" s="119">
        <f ca="1">D32*(100%+Feuil1!$Z$41)</f>
        <v>2903.8241744398283</v>
      </c>
      <c r="E33" s="119">
        <f ca="1">E32*(100%+Feuil1!$Z$41)</f>
        <v>2141.7833865612924</v>
      </c>
      <c r="F33" s="118">
        <f>-IF(ISERROR(VLOOKUP(A33*12,Feuil1!$AQ$29:$AT$328,4,FALSE)),0,VLOOKUP(A33*12,Feuil1!$AQ$29:$AT$328,4,FALSE))</f>
        <v>0</v>
      </c>
      <c r="G33" s="104">
        <f t="shared" ca="1" si="1"/>
        <v>8224.7421613866463</v>
      </c>
      <c r="H33" s="120">
        <f t="shared" ca="1" si="8"/>
        <v>4489.5060000000003</v>
      </c>
      <c r="I33" s="121">
        <f t="shared" ca="1" si="5"/>
        <v>4489.5060000000003</v>
      </c>
      <c r="J33" s="120">
        <f t="shared" ca="1" si="6"/>
        <v>4489.5060000000003</v>
      </c>
      <c r="K33" s="121">
        <f t="shared" ca="1" si="7"/>
        <v>0</v>
      </c>
      <c r="L33" s="123">
        <f t="shared" ca="1" si="0"/>
        <v>3735.236161386646</v>
      </c>
      <c r="M33" s="46">
        <f t="shared" ca="1" si="2"/>
        <v>2041</v>
      </c>
      <c r="N33">
        <f t="shared" ca="1" si="3"/>
        <v>1</v>
      </c>
      <c r="O33" s="161"/>
      <c r="P33" s="160"/>
      <c r="Q33" s="160"/>
    </row>
    <row r="34" spans="1:17">
      <c r="A34">
        <v>28</v>
      </c>
      <c r="B34" s="122">
        <f t="shared" ca="1" si="4"/>
        <v>2042</v>
      </c>
      <c r="C34" s="117">
        <f ca="1">C33*(100%+Feuil1!$Z$41)</f>
        <v>13336.701470999704</v>
      </c>
      <c r="D34" s="119">
        <f ca="1">D33*(100%+Feuil1!$Z$41)</f>
        <v>2918.3432953120273</v>
      </c>
      <c r="E34" s="119">
        <f ca="1">E33*(100%+Feuil1!$Z$41)</f>
        <v>2152.4923034940989</v>
      </c>
      <c r="F34" s="118">
        <f>-IF(ISERROR(VLOOKUP(A34*12,Feuil1!$AQ$29:$AT$328,4,FALSE)),0,VLOOKUP(A34*12,Feuil1!$AQ$29:$AT$328,4,FALSE))</f>
        <v>0</v>
      </c>
      <c r="G34" s="104">
        <f t="shared" ca="1" si="1"/>
        <v>8265.865872193579</v>
      </c>
      <c r="H34" s="120">
        <f t="shared" ca="1" si="8"/>
        <v>4489.5060000000003</v>
      </c>
      <c r="I34" s="121">
        <f t="shared" ca="1" si="5"/>
        <v>4489.5060000000003</v>
      </c>
      <c r="J34" s="120">
        <f t="shared" ca="1" si="6"/>
        <v>4489.5060000000003</v>
      </c>
      <c r="K34" s="121">
        <f t="shared" ca="1" si="7"/>
        <v>0</v>
      </c>
      <c r="L34" s="123">
        <f t="shared" ca="1" si="0"/>
        <v>3776.3598721935787</v>
      </c>
      <c r="M34" s="46">
        <f t="shared" ca="1" si="2"/>
        <v>2042</v>
      </c>
      <c r="N34">
        <f t="shared" ca="1" si="3"/>
        <v>1</v>
      </c>
      <c r="O34" s="161"/>
      <c r="P34" s="160"/>
      <c r="Q34" s="160"/>
    </row>
    <row r="35" spans="1:17">
      <c r="A35">
        <v>29</v>
      </c>
      <c r="B35" s="122">
        <f t="shared" ca="1" si="4"/>
        <v>2043</v>
      </c>
      <c r="C35" s="117">
        <f ca="1">C34*(100%+Feuil1!$Z$41)</f>
        <v>13403.384978354701</v>
      </c>
      <c r="D35" s="119">
        <f ca="1">D34*(100%+Feuil1!$Z$41)</f>
        <v>2932.935011788587</v>
      </c>
      <c r="E35" s="119">
        <f ca="1">E34*(100%+Feuil1!$Z$41)</f>
        <v>2163.2547650115694</v>
      </c>
      <c r="F35" s="118">
        <f>-IF(ISERROR(VLOOKUP(A35*12,Feuil1!$AQ$29:$AT$328,4,FALSE)),0,VLOOKUP(A35*12,Feuil1!$AQ$29:$AT$328,4,FALSE))</f>
        <v>0</v>
      </c>
      <c r="G35" s="104">
        <f t="shared" ca="1" si="1"/>
        <v>8307.195201554543</v>
      </c>
      <c r="H35" s="120">
        <f t="shared" ca="1" si="8"/>
        <v>4489.5060000000003</v>
      </c>
      <c r="I35" s="121">
        <f t="shared" ca="1" si="5"/>
        <v>4489.5060000000003</v>
      </c>
      <c r="J35" s="120">
        <f t="shared" ca="1" si="6"/>
        <v>4489.5060000000003</v>
      </c>
      <c r="K35" s="121">
        <f t="shared" ca="1" si="7"/>
        <v>0</v>
      </c>
      <c r="L35" s="123">
        <f t="shared" ca="1" si="0"/>
        <v>3817.6892015545427</v>
      </c>
      <c r="M35" s="46">
        <f t="shared" ca="1" si="2"/>
        <v>2043</v>
      </c>
      <c r="N35">
        <f t="shared" ca="1" si="3"/>
        <v>1</v>
      </c>
      <c r="O35" s="161"/>
      <c r="P35" s="160"/>
      <c r="Q35" s="160"/>
    </row>
    <row r="36" spans="1:17" ht="15.75" thickBot="1">
      <c r="A36">
        <v>30</v>
      </c>
      <c r="B36" s="124">
        <f t="shared" ca="1" si="4"/>
        <v>2044</v>
      </c>
      <c r="C36" s="125">
        <f ca="1">C35*(100%+Feuil1!$Z$41)</f>
        <v>13470.401903246473</v>
      </c>
      <c r="D36" s="126">
        <f ca="1">D35*(100%+Feuil1!$Z$41)</f>
        <v>2947.5996868475295</v>
      </c>
      <c r="E36" s="126">
        <f ca="1">E35*(100%+Feuil1!$Z$41)</f>
        <v>2174.0710388366269</v>
      </c>
      <c r="F36" s="118">
        <f>-IF(ISERROR(VLOOKUP(A36*12,Feuil1!$AQ$29:$AT$328,4,FALSE)),0,VLOOKUP(A36*12,Feuil1!$AQ$29:$AT$328,4,FALSE))</f>
        <v>0</v>
      </c>
      <c r="G36" s="127">
        <f t="shared" ca="1" si="1"/>
        <v>8348.7311775623166</v>
      </c>
      <c r="H36" s="128">
        <f t="shared" ca="1" si="8"/>
        <v>4489.5060000000003</v>
      </c>
      <c r="I36" s="129">
        <f t="shared" ca="1" si="5"/>
        <v>4489.5060000000003</v>
      </c>
      <c r="J36" s="128">
        <f t="shared" ca="1" si="6"/>
        <v>4489.5060000000003</v>
      </c>
      <c r="K36" s="129">
        <f t="shared" ca="1" si="7"/>
        <v>0</v>
      </c>
      <c r="L36" s="130">
        <f t="shared" ca="1" si="0"/>
        <v>3859.2251775623163</v>
      </c>
      <c r="M36" s="46">
        <f t="shared" ca="1" si="2"/>
        <v>2044</v>
      </c>
      <c r="N36">
        <f t="shared" ca="1" si="3"/>
        <v>1</v>
      </c>
      <c r="O36" s="161"/>
      <c r="P36" s="160"/>
      <c r="Q36" s="160"/>
    </row>
    <row r="38" spans="1:17">
      <c r="N38" s="46">
        <f ca="1">B36-SUM(N7:N36)</f>
        <v>2026</v>
      </c>
    </row>
  </sheetData>
  <sheetProtection password="8F6C" sheet="1" objects="1" scenarios="1"/>
  <mergeCells count="14">
    <mergeCell ref="O29:Q32"/>
    <mergeCell ref="O28:Q28"/>
    <mergeCell ref="L4:L6"/>
    <mergeCell ref="B1:L3"/>
    <mergeCell ref="F4:F6"/>
    <mergeCell ref="G4:G6"/>
    <mergeCell ref="H4:H6"/>
    <mergeCell ref="I4:I6"/>
    <mergeCell ref="J4:J6"/>
    <mergeCell ref="K4:K6"/>
    <mergeCell ref="B4:B6"/>
    <mergeCell ref="C4:C6"/>
    <mergeCell ref="D4:D6"/>
    <mergeCell ref="E4:E6"/>
  </mergeCells>
  <phoneticPr fontId="28" type="noConversion"/>
  <conditionalFormatting sqref="L7:L36">
    <cfRule type="cellIs" dxfId="8" priority="2" stopIfTrue="1" operator="equal">
      <formula>0</formula>
    </cfRule>
    <cfRule type="cellIs" dxfId="7" priority="3" stopIfTrue="1" operator="greaterThan">
      <formula>2118</formula>
    </cfRule>
    <cfRule type="cellIs" dxfId="6" priority="4" stopIfTrue="1" operator="greaterThan">
      <formula>0</formula>
    </cfRule>
  </conditionalFormatting>
  <conditionalFormatting sqref="G7:G36">
    <cfRule type="cellIs" dxfId="5" priority="1" operator="greaterThan">
      <formula>0</formula>
    </cfRule>
  </conditionalFormatting>
  <printOptions horizontalCentered="1"/>
  <pageMargins left="0.24" right="0.26" top="0.31496062992125984" bottom="0.62992125984251968" header="0.19685039370078741" footer="0.31496062992125984"/>
  <pageSetup paperSize="9" scale="90" orientation="landscape" horizontalDpi="0" verticalDpi="0" r:id="rId1"/>
  <headerFooter>
    <oddFooter>&amp;LSARL Coloc Invest
7 chemin de la Danse
42700 FIRMINY&amp;C&amp;8Simulation non contractuelle&amp;R&amp;"Arial,Normal"&amp;10contact@coloc-invest.fr
Tél. : 06 01 99 97 34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38"/>
  <sheetViews>
    <sheetView workbookViewId="0">
      <selection activeCell="F7" sqref="F7"/>
    </sheetView>
  </sheetViews>
  <sheetFormatPr baseColWidth="10" defaultRowHeight="15"/>
  <cols>
    <col min="1" max="1" width="3.85546875" customWidth="1"/>
    <col min="2" max="2" width="8.140625" style="100" customWidth="1"/>
    <col min="3" max="3" width="10.5703125" customWidth="1"/>
    <col min="4" max="4" width="10.42578125" customWidth="1"/>
    <col min="5" max="5" width="14.140625" customWidth="1"/>
    <col min="6" max="6" width="12" style="100" customWidth="1"/>
    <col min="9" max="9" width="12.42578125" customWidth="1"/>
    <col min="10" max="10" width="13.85546875" customWidth="1"/>
    <col min="11" max="11" width="11.7109375" customWidth="1"/>
    <col min="14" max="14" width="7.7109375" customWidth="1"/>
    <col min="15" max="15" width="13.42578125" customWidth="1"/>
  </cols>
  <sheetData>
    <row r="1" spans="1:14">
      <c r="A1" s="142"/>
      <c r="B1" s="258" t="s">
        <v>88</v>
      </c>
      <c r="C1" s="259"/>
      <c r="D1" s="259"/>
      <c r="E1" s="259"/>
      <c r="F1" s="259"/>
      <c r="G1" s="259"/>
      <c r="H1" s="259"/>
      <c r="I1" s="259"/>
      <c r="J1" s="259"/>
      <c r="K1" s="260"/>
      <c r="L1" s="143"/>
      <c r="M1" s="143"/>
      <c r="N1" s="144"/>
    </row>
    <row r="2" spans="1:14">
      <c r="A2" s="33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131"/>
      <c r="M2" s="131"/>
      <c r="N2" s="145"/>
    </row>
    <row r="3" spans="1:14" ht="15.75" thickBot="1">
      <c r="A3" s="33"/>
      <c r="B3" s="264"/>
      <c r="C3" s="265"/>
      <c r="D3" s="265"/>
      <c r="E3" s="265"/>
      <c r="F3" s="265"/>
      <c r="G3" s="265"/>
      <c r="H3" s="265"/>
      <c r="I3" s="265"/>
      <c r="J3" s="265"/>
      <c r="K3" s="266"/>
      <c r="L3" s="131"/>
      <c r="M3" s="131"/>
      <c r="N3" s="145"/>
    </row>
    <row r="4" spans="1:14" ht="15" customHeight="1">
      <c r="A4" s="33"/>
      <c r="B4" s="267" t="s">
        <v>54</v>
      </c>
      <c r="C4" s="273" t="s">
        <v>51</v>
      </c>
      <c r="D4" s="275" t="s">
        <v>20</v>
      </c>
      <c r="E4" s="275" t="s">
        <v>77</v>
      </c>
      <c r="F4" s="275" t="s">
        <v>78</v>
      </c>
      <c r="G4" s="271" t="s">
        <v>56</v>
      </c>
      <c r="H4" s="155" t="s">
        <v>79</v>
      </c>
      <c r="I4" s="273" t="s">
        <v>89</v>
      </c>
      <c r="J4" s="271" t="s">
        <v>20</v>
      </c>
      <c r="K4" s="269" t="s">
        <v>92</v>
      </c>
      <c r="L4" s="131"/>
      <c r="M4" s="131"/>
      <c r="N4" s="145"/>
    </row>
    <row r="5" spans="1:14">
      <c r="A5" s="33"/>
      <c r="B5" s="268"/>
      <c r="C5" s="274"/>
      <c r="D5" s="276"/>
      <c r="E5" s="276"/>
      <c r="F5" s="276"/>
      <c r="G5" s="272"/>
      <c r="H5" s="132" t="s">
        <v>90</v>
      </c>
      <c r="I5" s="274"/>
      <c r="J5" s="272"/>
      <c r="K5" s="270"/>
      <c r="L5" s="131"/>
      <c r="M5" s="131"/>
      <c r="N5" s="145"/>
    </row>
    <row r="6" spans="1:14">
      <c r="A6" s="33"/>
      <c r="B6" s="268"/>
      <c r="C6" s="274"/>
      <c r="D6" s="276"/>
      <c r="E6" s="276"/>
      <c r="F6" s="276"/>
      <c r="G6" s="272"/>
      <c r="H6" s="133" t="s">
        <v>91</v>
      </c>
      <c r="I6" s="274"/>
      <c r="J6" s="272"/>
      <c r="K6" s="270"/>
      <c r="L6" s="131"/>
      <c r="M6" s="131"/>
      <c r="N6" s="145"/>
    </row>
    <row r="7" spans="1:14">
      <c r="A7" s="33">
        <v>1</v>
      </c>
      <c r="B7" s="156">
        <f ca="1">YEAR(TODAY())</f>
        <v>2015</v>
      </c>
      <c r="C7" s="134">
        <f ca="1">Feuil1!E12*(12-Feuil1!$U$47)</f>
        <v>11656.40859867464</v>
      </c>
      <c r="D7" s="135">
        <f ca="1">-Feuil1!E13</f>
        <v>-2550.6608178438664</v>
      </c>
      <c r="E7" s="135">
        <f ca="1">-Feuil1!E14</f>
        <v>-1881.29949894941</v>
      </c>
      <c r="F7" s="136">
        <f>-IF(Feuil3!A7&lt;=Feuil1!$V$36,Feuil1!$E$25*12,0)</f>
        <v>-12032.512785028415</v>
      </c>
      <c r="G7" s="137">
        <f ca="1">C7+D7+E7+F7</f>
        <v>-4808.0645031470513</v>
      </c>
      <c r="H7" s="138">
        <f t="shared" ref="H7:H36" ca="1" si="0">G7/12</f>
        <v>-400.67204192892092</v>
      </c>
      <c r="I7" s="134">
        <f ca="1">SUM($C$7:C7)</f>
        <v>11656.40859867464</v>
      </c>
      <c r="J7" s="138">
        <f ca="1">D7+E7+F7</f>
        <v>-16464.473101821692</v>
      </c>
      <c r="K7" s="157">
        <f ca="1">SUM($J$7:J7)</f>
        <v>-16464.473101821692</v>
      </c>
      <c r="L7" s="139"/>
      <c r="M7" s="131"/>
      <c r="N7" s="145"/>
    </row>
    <row r="8" spans="1:14">
      <c r="A8" s="33">
        <v>2</v>
      </c>
      <c r="B8" s="156">
        <f ca="1">B7+1</f>
        <v>2016</v>
      </c>
      <c r="C8" s="140">
        <f ca="1">C7*(100%+Feuil1!$Z$41)</f>
        <v>11714.690641668012</v>
      </c>
      <c r="D8" s="141">
        <f ca="1">D7*(100%+Feuil1!$Z$41)</f>
        <v>-2563.4141219330854</v>
      </c>
      <c r="E8" s="141">
        <f ca="1">E7*(100%+Feuil1!$Z$41)</f>
        <v>-1890.7059964441569</v>
      </c>
      <c r="F8" s="136">
        <f>-IF(Feuil3!A8&lt;=Feuil1!$V$36,Feuil1!$E$25*12,0)</f>
        <v>-12032.512785028415</v>
      </c>
      <c r="G8" s="137">
        <f t="shared" ref="G8:G36" ca="1" si="1">C8+D8+E8+F8</f>
        <v>-4771.9422617376449</v>
      </c>
      <c r="H8" s="138">
        <f t="shared" ca="1" si="0"/>
        <v>-397.66185514480372</v>
      </c>
      <c r="I8" s="134">
        <f ca="1">SUM($C$7:C8)</f>
        <v>23371.09924034265</v>
      </c>
      <c r="J8" s="138">
        <f t="shared" ref="J8:J36" ca="1" si="2">D8+E8+F8</f>
        <v>-16486.632903405658</v>
      </c>
      <c r="K8" s="157">
        <f ca="1">SUM($J$7:J8)</f>
        <v>-32951.106005227353</v>
      </c>
      <c r="L8" s="139"/>
      <c r="M8" s="131"/>
      <c r="N8" s="145"/>
    </row>
    <row r="9" spans="1:14">
      <c r="A9" s="33">
        <v>3</v>
      </c>
      <c r="B9" s="156">
        <f t="shared" ref="B9:B36" ca="1" si="3">B8+1</f>
        <v>2017</v>
      </c>
      <c r="C9" s="140">
        <f ca="1">C8*(100%+Feuil1!$Z$41)</f>
        <v>11773.264094876351</v>
      </c>
      <c r="D9" s="141">
        <f ca="1">D8*(100%+Feuil1!$Z$41)</f>
        <v>-2576.2311925427507</v>
      </c>
      <c r="E9" s="141">
        <f ca="1">E8*(100%+Feuil1!$Z$41)</f>
        <v>-1900.1595264263774</v>
      </c>
      <c r="F9" s="136">
        <f>-IF(Feuil3!A9&lt;=Feuil1!$V$36,Feuil1!$E$25*12,0)</f>
        <v>-12032.512785028415</v>
      </c>
      <c r="G9" s="137">
        <f t="shared" ca="1" si="1"/>
        <v>-4735.6394091211932</v>
      </c>
      <c r="H9" s="138">
        <f t="shared" ca="1" si="0"/>
        <v>-394.63661742676612</v>
      </c>
      <c r="I9" s="134">
        <f ca="1">SUM($C$7:C9)</f>
        <v>35144.363335219001</v>
      </c>
      <c r="J9" s="138">
        <f t="shared" ca="1" si="2"/>
        <v>-16508.903503997542</v>
      </c>
      <c r="K9" s="157">
        <f ca="1">SUM($J$7:J9)</f>
        <v>-49460.009509224896</v>
      </c>
      <c r="L9" s="139"/>
      <c r="M9" s="131"/>
      <c r="N9" s="145"/>
    </row>
    <row r="10" spans="1:14">
      <c r="A10" s="33">
        <v>4</v>
      </c>
      <c r="B10" s="156">
        <f t="shared" ca="1" si="3"/>
        <v>2018</v>
      </c>
      <c r="C10" s="140">
        <f ca="1">C9*(100%+Feuil1!$Z$41)</f>
        <v>11832.130415350732</v>
      </c>
      <c r="D10" s="141">
        <f ca="1">D9*(100%+Feuil1!$Z$41)</f>
        <v>-2589.1123485054641</v>
      </c>
      <c r="E10" s="141">
        <f ca="1">E9*(100%+Feuil1!$Z$41)</f>
        <v>-1909.6603240585091</v>
      </c>
      <c r="F10" s="136">
        <f>-IF(Feuil3!A10&lt;=Feuil1!$V$36,Feuil1!$E$25*12,0)</f>
        <v>-12032.512785028415</v>
      </c>
      <c r="G10" s="137">
        <f t="shared" ca="1" si="1"/>
        <v>-4699.1550422416576</v>
      </c>
      <c r="H10" s="138">
        <f t="shared" ca="1" si="0"/>
        <v>-391.59625352013813</v>
      </c>
      <c r="I10" s="134">
        <f ca="1">SUM($C$7:C10)</f>
        <v>46976.493750569731</v>
      </c>
      <c r="J10" s="138">
        <f t="shared" ca="1" si="2"/>
        <v>-16531.285457592388</v>
      </c>
      <c r="K10" s="157">
        <f ca="1">SUM($J$7:J10)</f>
        <v>-65991.294966817281</v>
      </c>
      <c r="L10" s="139"/>
      <c r="M10" s="131"/>
      <c r="N10" s="145"/>
    </row>
    <row r="11" spans="1:14">
      <c r="A11" s="33">
        <v>5</v>
      </c>
      <c r="B11" s="156">
        <f t="shared" ca="1" si="3"/>
        <v>2019</v>
      </c>
      <c r="C11" s="140">
        <f ca="1">C10*(100%+Feuil1!$Z$41)</f>
        <v>11891.291067427484</v>
      </c>
      <c r="D11" s="141">
        <f ca="1">D10*(100%+Feuil1!$Z$41)</f>
        <v>-2602.057910247991</v>
      </c>
      <c r="E11" s="141">
        <f ca="1">E10*(100%+Feuil1!$Z$41)</f>
        <v>-1919.2086256788014</v>
      </c>
      <c r="F11" s="136">
        <f>-IF(Feuil3!A11&lt;=Feuil1!$V$36,Feuil1!$E$25*12,0)</f>
        <v>-12032.512785028415</v>
      </c>
      <c r="G11" s="137">
        <f t="shared" ca="1" si="1"/>
        <v>-4662.4882535277238</v>
      </c>
      <c r="H11" s="138">
        <f t="shared" ca="1" si="0"/>
        <v>-388.54068779397699</v>
      </c>
      <c r="I11" s="134">
        <f ca="1">SUM($C$7:C11)</f>
        <v>58867.784817997213</v>
      </c>
      <c r="J11" s="138">
        <f t="shared" ca="1" si="2"/>
        <v>-16553.779320955207</v>
      </c>
      <c r="K11" s="157">
        <f ca="1">SUM($J$7:J11)</f>
        <v>-82545.074287772484</v>
      </c>
      <c r="L11" s="139"/>
      <c r="M11" s="131"/>
      <c r="N11" s="145"/>
    </row>
    <row r="12" spans="1:14">
      <c r="A12" s="33">
        <v>6</v>
      </c>
      <c r="B12" s="156">
        <f t="shared" ca="1" si="3"/>
        <v>2020</v>
      </c>
      <c r="C12" s="140">
        <f ca="1">C11*(100%+Feuil1!$Z$41)</f>
        <v>11950.747522764621</v>
      </c>
      <c r="D12" s="141">
        <f ca="1">D11*(100%+Feuil1!$Z$41)</f>
        <v>-2615.0681997992306</v>
      </c>
      <c r="E12" s="141">
        <f ca="1">E11*(100%+Feuil1!$Z$41)</f>
        <v>-1928.8046688071952</v>
      </c>
      <c r="F12" s="136">
        <f>-IF(Feuil3!A12&lt;=Feuil1!$V$36,Feuil1!$E$25*12,0)</f>
        <v>-12032.512785028415</v>
      </c>
      <c r="G12" s="137">
        <f t="shared" ca="1" si="1"/>
        <v>-4625.6381308702203</v>
      </c>
      <c r="H12" s="138">
        <f t="shared" ca="1" si="0"/>
        <v>-385.46984423918502</v>
      </c>
      <c r="I12" s="134">
        <f ca="1">SUM($C$7:C12)</f>
        <v>70818.532340761827</v>
      </c>
      <c r="J12" s="138">
        <f t="shared" ca="1" si="2"/>
        <v>-16576.385653634839</v>
      </c>
      <c r="K12" s="157">
        <f ca="1">SUM($J$7:J12)</f>
        <v>-99121.459941407316</v>
      </c>
      <c r="L12" s="139"/>
      <c r="M12" s="131"/>
      <c r="N12" s="145"/>
    </row>
    <row r="13" spans="1:14">
      <c r="A13" s="33">
        <v>7</v>
      </c>
      <c r="B13" s="156">
        <f t="shared" ca="1" si="3"/>
        <v>2021</v>
      </c>
      <c r="C13" s="140">
        <f ca="1">C12*(100%+Feuil1!$Z$41)</f>
        <v>12010.501260378443</v>
      </c>
      <c r="D13" s="141">
        <f ca="1">D12*(100%+Feuil1!$Z$41)</f>
        <v>-2628.1435407982262</v>
      </c>
      <c r="E13" s="141">
        <f ca="1">E12*(100%+Feuil1!$Z$41)</f>
        <v>-1938.4486921512309</v>
      </c>
      <c r="F13" s="136">
        <f>-IF(Feuil3!A13&lt;=Feuil1!$V$36,Feuil1!$E$25*12,0)</f>
        <v>-12032.512785028415</v>
      </c>
      <c r="G13" s="137">
        <f t="shared" ca="1" si="1"/>
        <v>-4588.6037575994287</v>
      </c>
      <c r="H13" s="138">
        <f t="shared" ca="1" si="0"/>
        <v>-382.38364646661904</v>
      </c>
      <c r="I13" s="134">
        <f ca="1">SUM($C$7:C13)</f>
        <v>82829.033601140269</v>
      </c>
      <c r="J13" s="138">
        <f t="shared" ca="1" si="2"/>
        <v>-16599.105017977872</v>
      </c>
      <c r="K13" s="157">
        <f ca="1">SUM($J$7:J13)</f>
        <v>-115720.56495938518</v>
      </c>
      <c r="L13" s="139"/>
      <c r="M13" s="131"/>
      <c r="N13" s="145"/>
    </row>
    <row r="14" spans="1:14">
      <c r="A14" s="33">
        <v>8</v>
      </c>
      <c r="B14" s="156">
        <f t="shared" ca="1" si="3"/>
        <v>2022</v>
      </c>
      <c r="C14" s="140">
        <f ca="1">C13*(100%+Feuil1!$Z$41)</f>
        <v>12070.553766680334</v>
      </c>
      <c r="D14" s="141">
        <f ca="1">D13*(100%+Feuil1!$Z$41)</f>
        <v>-2641.2842585022172</v>
      </c>
      <c r="E14" s="141">
        <f ca="1">E13*(100%+Feuil1!$Z$41)</f>
        <v>-1948.1409356119868</v>
      </c>
      <c r="F14" s="136">
        <f>-IF(Feuil3!A14&lt;=Feuil1!$V$36,Feuil1!$E$25*12,0)</f>
        <v>-12032.512785028415</v>
      </c>
      <c r="G14" s="137">
        <f t="shared" ca="1" si="1"/>
        <v>-4551.3842124622852</v>
      </c>
      <c r="H14" s="138">
        <f t="shared" ca="1" si="0"/>
        <v>-379.28201770519041</v>
      </c>
      <c r="I14" s="134">
        <f ca="1">SUM($C$7:C14)</f>
        <v>94899.587367820597</v>
      </c>
      <c r="J14" s="138">
        <f t="shared" ca="1" si="2"/>
        <v>-16621.937979142618</v>
      </c>
      <c r="K14" s="157">
        <f ca="1">SUM($J$7:J14)</f>
        <v>-132342.50293852779</v>
      </c>
      <c r="L14" s="139"/>
      <c r="M14" s="131"/>
      <c r="N14" s="145"/>
    </row>
    <row r="15" spans="1:14">
      <c r="A15" s="33">
        <v>9</v>
      </c>
      <c r="B15" s="156">
        <f t="shared" ca="1" si="3"/>
        <v>2023</v>
      </c>
      <c r="C15" s="140">
        <f ca="1">C14*(100%+Feuil1!$Z$41)</f>
        <v>12130.906535513734</v>
      </c>
      <c r="D15" s="141">
        <f ca="1">D14*(100%+Feuil1!$Z$41)</f>
        <v>-2654.4906797947278</v>
      </c>
      <c r="E15" s="141">
        <f ca="1">E14*(100%+Feuil1!$Z$41)</f>
        <v>-1957.8816402900466</v>
      </c>
      <c r="F15" s="136">
        <f>-IF(Feuil3!A15&lt;=Feuil1!$V$36,Feuil1!$E$25*12,0)</f>
        <v>-12032.512785028415</v>
      </c>
      <c r="G15" s="137">
        <f t="shared" ca="1" si="1"/>
        <v>-4513.978569599456</v>
      </c>
      <c r="H15" s="138">
        <f t="shared" ca="1" si="0"/>
        <v>-376.16488079995469</v>
      </c>
      <c r="I15" s="134">
        <f ca="1">SUM($C$7:C15)</f>
        <v>107030.49390333433</v>
      </c>
      <c r="J15" s="138">
        <f t="shared" ca="1" si="2"/>
        <v>-16644.88510511319</v>
      </c>
      <c r="K15" s="157">
        <f ca="1">SUM($J$7:J15)</f>
        <v>-148987.38804364097</v>
      </c>
      <c r="L15" s="139"/>
      <c r="M15" s="131"/>
      <c r="N15" s="145"/>
    </row>
    <row r="16" spans="1:14">
      <c r="A16" s="33">
        <v>10</v>
      </c>
      <c r="B16" s="156">
        <f t="shared" ca="1" si="3"/>
        <v>2024</v>
      </c>
      <c r="C16" s="140">
        <f ca="1">C15*(100%+Feuil1!$Z$41)</f>
        <v>12191.5610681913</v>
      </c>
      <c r="D16" s="141">
        <f ca="1">D15*(100%+Feuil1!$Z$41)</f>
        <v>-2667.7631331937014</v>
      </c>
      <c r="E16" s="141">
        <f ca="1">E15*(100%+Feuil1!$Z$41)</f>
        <v>-1967.6710484914965</v>
      </c>
      <c r="F16" s="136">
        <f>-IF(Feuil3!A16&lt;=Feuil1!$V$36,Feuil1!$E$25*12,0)</f>
        <v>-12032.512785028415</v>
      </c>
      <c r="G16" s="137">
        <f t="shared" ca="1" si="1"/>
        <v>-4476.3858985223123</v>
      </c>
      <c r="H16" s="138">
        <f t="shared" ca="1" si="0"/>
        <v>-373.03215821019268</v>
      </c>
      <c r="I16" s="134">
        <f ca="1">SUM($C$7:C16)</f>
        <v>119222.05497152562</v>
      </c>
      <c r="J16" s="138">
        <f t="shared" ca="1" si="2"/>
        <v>-16667.946966713615</v>
      </c>
      <c r="K16" s="157">
        <f ca="1">SUM($J$7:J16)</f>
        <v>-165655.33501035458</v>
      </c>
      <c r="L16" s="139"/>
      <c r="M16" s="131"/>
      <c r="N16" s="145"/>
    </row>
    <row r="17" spans="1:16">
      <c r="A17" s="33">
        <v>11</v>
      </c>
      <c r="B17" s="156">
        <f t="shared" ca="1" si="3"/>
        <v>2025</v>
      </c>
      <c r="C17" s="140">
        <f ca="1">C16*(100%+Feuil1!$Z$41)</f>
        <v>12252.518873532255</v>
      </c>
      <c r="D17" s="141">
        <f ca="1">D16*(100%+Feuil1!$Z$41)</f>
        <v>-2681.1019488596694</v>
      </c>
      <c r="E17" s="141">
        <f ca="1">E16*(100%+Feuil1!$Z$41)</f>
        <v>-1977.5094037339538</v>
      </c>
      <c r="F17" s="136">
        <f>-IF(Feuil3!A17&lt;=Feuil1!$V$36,Feuil1!$E$25*12,0)</f>
        <v>-12032.512785028415</v>
      </c>
      <c r="G17" s="137">
        <f t="shared" ca="1" si="1"/>
        <v>-4438.6052640897824</v>
      </c>
      <c r="H17" s="138">
        <f t="shared" ca="1" si="0"/>
        <v>-369.88377200748187</v>
      </c>
      <c r="I17" s="134">
        <f ca="1">SUM($C$7:C17)</f>
        <v>131474.57384505786</v>
      </c>
      <c r="J17" s="138">
        <f t="shared" ca="1" si="2"/>
        <v>-16691.124137622039</v>
      </c>
      <c r="K17" s="157">
        <f ca="1">SUM($J$7:J17)</f>
        <v>-182346.45914797662</v>
      </c>
      <c r="L17" s="139"/>
      <c r="M17" s="131"/>
      <c r="N17" s="145"/>
    </row>
    <row r="18" spans="1:16">
      <c r="A18" s="33">
        <v>12</v>
      </c>
      <c r="B18" s="156">
        <f t="shared" ca="1" si="3"/>
        <v>2026</v>
      </c>
      <c r="C18" s="140">
        <f ca="1">C17*(100%+Feuil1!$Z$41)</f>
        <v>12313.781467899915</v>
      </c>
      <c r="D18" s="141">
        <f ca="1">D17*(100%+Feuil1!$Z$41)</f>
        <v>-2694.5074586039673</v>
      </c>
      <c r="E18" s="141">
        <f ca="1">E17*(100%+Feuil1!$Z$41)</f>
        <v>-1987.3969507526233</v>
      </c>
      <c r="F18" s="136">
        <f>-IF(Feuil3!A18&lt;=Feuil1!$V$36,Feuil1!$E$25*12,0)</f>
        <v>-12032.512785028415</v>
      </c>
      <c r="G18" s="137">
        <f t="shared" ca="1" si="1"/>
        <v>-4400.6357264850922</v>
      </c>
      <c r="H18" s="138">
        <f t="shared" ca="1" si="0"/>
        <v>-366.71964387375766</v>
      </c>
      <c r="I18" s="134">
        <f ca="1">SUM($C$7:C18)</f>
        <v>143788.35531295778</v>
      </c>
      <c r="J18" s="138">
        <f t="shared" ca="1" si="2"/>
        <v>-16714.417194385005</v>
      </c>
      <c r="K18" s="157">
        <f ca="1">SUM($J$7:J18)</f>
        <v>-199060.87634236162</v>
      </c>
      <c r="L18" s="139"/>
      <c r="M18" s="131"/>
      <c r="N18" s="145"/>
    </row>
    <row r="19" spans="1:16">
      <c r="A19" s="33">
        <v>13</v>
      </c>
      <c r="B19" s="156">
        <f t="shared" ca="1" si="3"/>
        <v>2027</v>
      </c>
      <c r="C19" s="140">
        <f ca="1">C18*(100%+Feuil1!$Z$41)</f>
        <v>12375.350375239414</v>
      </c>
      <c r="D19" s="141">
        <f ca="1">D18*(100%+Feuil1!$Z$41)</f>
        <v>-2707.979995896987</v>
      </c>
      <c r="E19" s="141">
        <f ca="1">E18*(100%+Feuil1!$Z$41)</f>
        <v>-1997.3339355063863</v>
      </c>
      <c r="F19" s="136">
        <f>-IF(Feuil3!A19&lt;=Feuil1!$V$36,Feuil1!$E$25*12,0)</f>
        <v>-12032.512785028415</v>
      </c>
      <c r="G19" s="137">
        <f t="shared" ca="1" si="1"/>
        <v>-4362.476341192375</v>
      </c>
      <c r="H19" s="138">
        <f t="shared" ca="1" si="0"/>
        <v>-363.53969509936456</v>
      </c>
      <c r="I19" s="134">
        <f ca="1">SUM($C$7:C19)</f>
        <v>156163.70568819719</v>
      </c>
      <c r="J19" s="138">
        <f t="shared" ca="1" si="2"/>
        <v>-16737.826716431788</v>
      </c>
      <c r="K19" s="157">
        <f ca="1">SUM($J$7:J19)</f>
        <v>-215798.70305879341</v>
      </c>
      <c r="L19" s="139"/>
      <c r="M19" s="131"/>
      <c r="N19" s="145"/>
    </row>
    <row r="20" spans="1:16">
      <c r="A20" s="33">
        <v>14</v>
      </c>
      <c r="B20" s="156">
        <f t="shared" ca="1" si="3"/>
        <v>2028</v>
      </c>
      <c r="C20" s="140">
        <f ca="1">C19*(100%+Feuil1!$Z$41)</f>
        <v>12437.22712711561</v>
      </c>
      <c r="D20" s="141">
        <f ca="1">D19*(100%+Feuil1!$Z$41)</f>
        <v>-2721.5198958764718</v>
      </c>
      <c r="E20" s="141">
        <f ca="1">E19*(100%+Feuil1!$Z$41)</f>
        <v>-2007.3206051839179</v>
      </c>
      <c r="F20" s="136">
        <f>-IF(Feuil3!A20&lt;=Feuil1!$V$36,Feuil1!$E$25*12,0)</f>
        <v>-12032.512785028415</v>
      </c>
      <c r="G20" s="137">
        <f t="shared" ca="1" si="1"/>
        <v>-4324.1261589731957</v>
      </c>
      <c r="H20" s="138">
        <f t="shared" ca="1" si="0"/>
        <v>-360.34384658109963</v>
      </c>
      <c r="I20" s="134">
        <f ca="1">SUM($C$7:C20)</f>
        <v>168600.93281531282</v>
      </c>
      <c r="J20" s="138">
        <f t="shared" ca="1" si="2"/>
        <v>-16761.353286088804</v>
      </c>
      <c r="K20" s="157">
        <f ca="1">SUM($J$7:J20)</f>
        <v>-232560.05634488221</v>
      </c>
      <c r="L20" s="139"/>
      <c r="M20" s="131"/>
      <c r="N20" s="145"/>
    </row>
    <row r="21" spans="1:16">
      <c r="A21" s="33">
        <v>15</v>
      </c>
      <c r="B21" s="156">
        <f t="shared" ca="1" si="3"/>
        <v>2029</v>
      </c>
      <c r="C21" s="140">
        <f ca="1">C20*(100%+Feuil1!$Z$41)</f>
        <v>12499.413262751186</v>
      </c>
      <c r="D21" s="141">
        <f ca="1">D20*(100%+Feuil1!$Z$41)</f>
        <v>-2735.1274953558536</v>
      </c>
      <c r="E21" s="141">
        <f ca="1">E20*(100%+Feuil1!$Z$41)</f>
        <v>-2017.3572082098374</v>
      </c>
      <c r="F21" s="136">
        <f>-IF(Feuil3!A21&lt;=Feuil1!$V$36,Feuil1!$E$25*12,0)</f>
        <v>0</v>
      </c>
      <c r="G21" s="137">
        <f t="shared" ca="1" si="1"/>
        <v>7746.9285591854959</v>
      </c>
      <c r="H21" s="138">
        <f t="shared" ca="1" si="0"/>
        <v>645.5773799321247</v>
      </c>
      <c r="I21" s="134">
        <f ca="1">SUM($C$7:C21)</f>
        <v>181100.346078064</v>
      </c>
      <c r="J21" s="138">
        <f t="shared" ca="1" si="2"/>
        <v>-4752.4847035656912</v>
      </c>
      <c r="K21" s="157">
        <f ca="1">SUM($J$7:J21)</f>
        <v>-237312.54104844789</v>
      </c>
      <c r="L21" s="248"/>
      <c r="M21" s="249"/>
      <c r="N21" s="250"/>
    </row>
    <row r="22" spans="1:16">
      <c r="A22" s="33">
        <v>16</v>
      </c>
      <c r="B22" s="156">
        <f t="shared" ca="1" si="3"/>
        <v>2030</v>
      </c>
      <c r="C22" s="140">
        <f ca="1">C21*(100%+Feuil1!$Z$41)</f>
        <v>12561.91032906494</v>
      </c>
      <c r="D22" s="141">
        <f ca="1">D21*(100%+Feuil1!$Z$41)</f>
        <v>-2748.8031328326324</v>
      </c>
      <c r="E22" s="141">
        <f ca="1">E21*(100%+Feuil1!$Z$41)</f>
        <v>-2027.4439942508864</v>
      </c>
      <c r="F22" s="136">
        <f>-IF(Feuil3!A22&lt;=Feuil1!$V$36,Feuil1!$E$25*12,0)</f>
        <v>0</v>
      </c>
      <c r="G22" s="137">
        <f t="shared" ca="1" si="1"/>
        <v>7785.6632019814215</v>
      </c>
      <c r="H22" s="138">
        <f t="shared" ca="1" si="0"/>
        <v>648.80526683178516</v>
      </c>
      <c r="I22" s="134">
        <f ca="1">SUM($C$7:C22)</f>
        <v>193662.25640712894</v>
      </c>
      <c r="J22" s="138">
        <f t="shared" ca="1" si="2"/>
        <v>-4776.2471270835185</v>
      </c>
      <c r="K22" s="157">
        <f ca="1">SUM($J$7:J22)</f>
        <v>-242088.7881755314</v>
      </c>
      <c r="L22" s="139"/>
      <c r="M22" s="131"/>
      <c r="N22" s="145"/>
    </row>
    <row r="23" spans="1:16">
      <c r="A23" s="33">
        <v>17</v>
      </c>
      <c r="B23" s="156">
        <f t="shared" ca="1" si="3"/>
        <v>2031</v>
      </c>
      <c r="C23" s="140">
        <f ca="1">C22*(100%+Feuil1!$Z$41)</f>
        <v>12624.719880710263</v>
      </c>
      <c r="D23" s="141">
        <f ca="1">D22*(100%+Feuil1!$Z$41)</f>
        <v>-2762.5471484967952</v>
      </c>
      <c r="E23" s="141">
        <f ca="1">E22*(100%+Feuil1!$Z$41)</f>
        <v>-2037.5812142221405</v>
      </c>
      <c r="F23" s="136">
        <f>-IF(Feuil3!A23&lt;=Feuil1!$V$36,Feuil1!$E$25*12,0)</f>
        <v>0</v>
      </c>
      <c r="G23" s="137">
        <f t="shared" ca="1" si="1"/>
        <v>7824.5915179913281</v>
      </c>
      <c r="H23" s="138">
        <f t="shared" ca="1" si="0"/>
        <v>652.04929316594405</v>
      </c>
      <c r="I23" s="134">
        <f ca="1">SUM($C$7:C23)</f>
        <v>206286.97628783921</v>
      </c>
      <c r="J23" s="138">
        <f t="shared" ca="1" si="2"/>
        <v>-4800.1283627189359</v>
      </c>
      <c r="K23" s="157">
        <f ca="1">SUM($J$7:J23)</f>
        <v>-246888.91653825034</v>
      </c>
      <c r="L23" s="131"/>
      <c r="M23" s="131"/>
      <c r="N23" s="145"/>
      <c r="O23" s="49"/>
      <c r="P23" s="49"/>
    </row>
    <row r="24" spans="1:16">
      <c r="A24" s="33">
        <v>18</v>
      </c>
      <c r="B24" s="156">
        <f t="shared" ca="1" si="3"/>
        <v>2032</v>
      </c>
      <c r="C24" s="140">
        <f ca="1">C23*(100%+Feuil1!$Z$41)</f>
        <v>12687.843480113814</v>
      </c>
      <c r="D24" s="141">
        <f ca="1">D23*(100%+Feuil1!$Z$41)</f>
        <v>-2776.3598842392789</v>
      </c>
      <c r="E24" s="141">
        <f ca="1">E23*(100%+Feuil1!$Z$41)</f>
        <v>-2047.769120293251</v>
      </c>
      <c r="F24" s="136">
        <f>-IF(Feuil3!A24&lt;=Feuil1!$V$36,Feuil1!$E$25*12,0)</f>
        <v>0</v>
      </c>
      <c r="G24" s="137">
        <f t="shared" ca="1" si="1"/>
        <v>7863.7144755812842</v>
      </c>
      <c r="H24" s="138">
        <f t="shared" ca="1" si="0"/>
        <v>655.30953963177365</v>
      </c>
      <c r="I24" s="134">
        <f ca="1">SUM($C$7:C24)</f>
        <v>218974.81976795301</v>
      </c>
      <c r="J24" s="138">
        <f t="shared" ca="1" si="2"/>
        <v>-4824.1290045325295</v>
      </c>
      <c r="K24" s="157">
        <f ca="1">SUM($J$7:J24)</f>
        <v>-251713.04554278287</v>
      </c>
      <c r="L24" s="139"/>
      <c r="M24" s="131"/>
      <c r="N24" s="145"/>
      <c r="O24" s="49"/>
      <c r="P24" s="49"/>
    </row>
    <row r="25" spans="1:16">
      <c r="A25" s="33">
        <v>19</v>
      </c>
      <c r="B25" s="156">
        <f t="shared" ca="1" si="3"/>
        <v>2033</v>
      </c>
      <c r="C25" s="140">
        <f ca="1">C24*(100%+Feuil1!$Z$41)</f>
        <v>12751.282697514382</v>
      </c>
      <c r="D25" s="141">
        <f ca="1">D24*(100%+Feuil1!$Z$41)</f>
        <v>-2790.2416836604752</v>
      </c>
      <c r="E25" s="141">
        <f ca="1">E24*(100%+Feuil1!$Z$41)</f>
        <v>-2058.007965894717</v>
      </c>
      <c r="F25" s="136">
        <f>-IF(Feuil3!A25&lt;=Feuil1!$V$36,Feuil1!$E$25*12,0)</f>
        <v>0</v>
      </c>
      <c r="G25" s="137">
        <f t="shared" ca="1" si="1"/>
        <v>7903.0330479591894</v>
      </c>
      <c r="H25" s="138">
        <f t="shared" ca="1" si="0"/>
        <v>658.58608732993241</v>
      </c>
      <c r="I25" s="134">
        <f ca="1">SUM($C$7:C25)</f>
        <v>231726.10246546738</v>
      </c>
      <c r="J25" s="138">
        <f t="shared" ca="1" si="2"/>
        <v>-4848.2496495551923</v>
      </c>
      <c r="K25" s="157">
        <f ca="1">SUM($J$7:J25)</f>
        <v>-256561.29519233806</v>
      </c>
      <c r="L25" s="139"/>
      <c r="M25" s="131"/>
      <c r="N25" s="145"/>
    </row>
    <row r="26" spans="1:16">
      <c r="A26" s="33">
        <v>20</v>
      </c>
      <c r="B26" s="156">
        <f t="shared" ca="1" si="3"/>
        <v>2034</v>
      </c>
      <c r="C26" s="140">
        <f ca="1">C25*(100%+Feuil1!$Z$41)</f>
        <v>12815.039111001952</v>
      </c>
      <c r="D26" s="141">
        <f ca="1">D25*(100%+Feuil1!$Z$41)</f>
        <v>-2804.1928920787773</v>
      </c>
      <c r="E26" s="141">
        <f ca="1">E25*(100%+Feuil1!$Z$41)</f>
        <v>-2068.2980057241903</v>
      </c>
      <c r="F26" s="136">
        <f>-IF(Feuil3!A26&lt;=Feuil1!$V$36,Feuil1!$E$25*12,0)</f>
        <v>0</v>
      </c>
      <c r="G26" s="137">
        <f t="shared" ca="1" si="1"/>
        <v>7942.5482131989838</v>
      </c>
      <c r="H26" s="138">
        <f t="shared" ca="1" si="0"/>
        <v>661.87901776658202</v>
      </c>
      <c r="I26" s="134">
        <f ca="1">SUM($C$7:C26)</f>
        <v>244541.14157646932</v>
      </c>
      <c r="J26" s="138">
        <f t="shared" ca="1" si="2"/>
        <v>-4872.4908978029671</v>
      </c>
      <c r="K26" s="157">
        <f ca="1">SUM($J$7:J26)</f>
        <v>-261433.78609014102</v>
      </c>
      <c r="L26" s="139"/>
      <c r="M26" s="131"/>
      <c r="N26" s="145"/>
    </row>
    <row r="27" spans="1:16">
      <c r="A27" s="33">
        <v>21</v>
      </c>
      <c r="B27" s="156">
        <f t="shared" ca="1" si="3"/>
        <v>2035</v>
      </c>
      <c r="C27" s="140">
        <f ca="1">C26*(100%+Feuil1!$Z$41)</f>
        <v>12879.114306556959</v>
      </c>
      <c r="D27" s="141">
        <f ca="1">D26*(100%+Feuil1!$Z$41)</f>
        <v>-2818.213856539171</v>
      </c>
      <c r="E27" s="141">
        <f ca="1">E26*(100%+Feuil1!$Z$41)</f>
        <v>-2078.6394957528109</v>
      </c>
      <c r="F27" s="136">
        <f>-IF(Feuil3!A27&lt;=Feuil1!$V$36,Feuil1!$E$25*12,0)</f>
        <v>0</v>
      </c>
      <c r="G27" s="137">
        <f t="shared" ca="1" si="1"/>
        <v>7982.260954264978</v>
      </c>
      <c r="H27" s="138">
        <f t="shared" ca="1" si="0"/>
        <v>665.18841285541487</v>
      </c>
      <c r="I27" s="134">
        <f ca="1">SUM($C$7:C27)</f>
        <v>257420.25588302629</v>
      </c>
      <c r="J27" s="138">
        <f t="shared" ca="1" si="2"/>
        <v>-4896.8533522919824</v>
      </c>
      <c r="K27" s="157">
        <f ca="1">SUM($J$7:J27)</f>
        <v>-266330.63944243302</v>
      </c>
      <c r="L27" s="139"/>
      <c r="M27" s="131"/>
      <c r="N27" s="145"/>
    </row>
    <row r="28" spans="1:16">
      <c r="A28" s="33">
        <v>22</v>
      </c>
      <c r="B28" s="156">
        <f t="shared" ca="1" si="3"/>
        <v>2036</v>
      </c>
      <c r="C28" s="140">
        <f ca="1">C27*(100%+Feuil1!$Z$41)</f>
        <v>12943.509878089742</v>
      </c>
      <c r="D28" s="141">
        <f ca="1">D27*(100%+Feuil1!$Z$41)</f>
        <v>-2832.3049258218666</v>
      </c>
      <c r="E28" s="141">
        <f ca="1">E27*(100%+Feuil1!$Z$41)</f>
        <v>-2089.0326932315747</v>
      </c>
      <c r="F28" s="136">
        <f>-IF(Feuil3!A28&lt;=Feuil1!$V$36,Feuil1!$E$25*12,0)</f>
        <v>0</v>
      </c>
      <c r="G28" s="137">
        <f t="shared" ca="1" si="1"/>
        <v>8022.1722590363006</v>
      </c>
      <c r="H28" s="138">
        <f t="shared" ca="1" si="0"/>
        <v>668.51435491969175</v>
      </c>
      <c r="I28" s="134">
        <f ca="1">SUM($C$7:C28)</f>
        <v>270363.76576111605</v>
      </c>
      <c r="J28" s="138">
        <f t="shared" ca="1" si="2"/>
        <v>-4921.3376190534418</v>
      </c>
      <c r="K28" s="157">
        <f ca="1">SUM($J$7:J28)</f>
        <v>-271251.97706148645</v>
      </c>
      <c r="L28" s="251" t="s">
        <v>94</v>
      </c>
      <c r="M28" s="252"/>
      <c r="N28" s="253"/>
    </row>
    <row r="29" spans="1:16">
      <c r="A29" s="33">
        <v>23</v>
      </c>
      <c r="B29" s="156">
        <f t="shared" ca="1" si="3"/>
        <v>2037</v>
      </c>
      <c r="C29" s="140">
        <f ca="1">C28*(100%+Feuil1!$Z$41)</f>
        <v>13008.227427480189</v>
      </c>
      <c r="D29" s="141">
        <f ca="1">D28*(100%+Feuil1!$Z$41)</f>
        <v>-2846.4664504509756</v>
      </c>
      <c r="E29" s="141">
        <f ca="1">E28*(100%+Feuil1!$Z$41)</f>
        <v>-2099.4778566977325</v>
      </c>
      <c r="F29" s="136">
        <f>-IF(Feuil3!A29&lt;=Feuil1!$V$36,Feuil1!$E$25*12,0)</f>
        <v>0</v>
      </c>
      <c r="G29" s="137">
        <f t="shared" ca="1" si="1"/>
        <v>8062.2831203314818</v>
      </c>
      <c r="H29" s="138">
        <f t="shared" ca="1" si="0"/>
        <v>671.85692669429011</v>
      </c>
      <c r="I29" s="134">
        <f ca="1">SUM($C$7:C29)</f>
        <v>283371.99318859621</v>
      </c>
      <c r="J29" s="138">
        <f t="shared" ca="1" si="2"/>
        <v>-4945.9443071487076</v>
      </c>
      <c r="K29" s="157">
        <f ca="1">SUM($J$7:J29)</f>
        <v>-276197.92136863514</v>
      </c>
      <c r="L29" s="254" t="s">
        <v>95</v>
      </c>
      <c r="M29" s="255"/>
      <c r="N29" s="256"/>
    </row>
    <row r="30" spans="1:16">
      <c r="A30" s="33">
        <v>24</v>
      </c>
      <c r="B30" s="156">
        <f t="shared" ca="1" si="3"/>
        <v>2038</v>
      </c>
      <c r="C30" s="140">
        <f ca="1">C29*(100%+Feuil1!$Z$41)</f>
        <v>13073.268564617589</v>
      </c>
      <c r="D30" s="141">
        <f ca="1">D29*(100%+Feuil1!$Z$41)</f>
        <v>-2860.6987827032303</v>
      </c>
      <c r="E30" s="141">
        <f ca="1">E29*(100%+Feuil1!$Z$41)</f>
        <v>-2109.9752459812207</v>
      </c>
      <c r="F30" s="136">
        <f>-IF(Feuil3!A30&lt;=Feuil1!$V$36,Feuil1!$E$25*12,0)</f>
        <v>0</v>
      </c>
      <c r="G30" s="137">
        <f t="shared" ca="1" si="1"/>
        <v>8102.5945359331381</v>
      </c>
      <c r="H30" s="138">
        <f t="shared" ca="1" si="0"/>
        <v>675.21621132776147</v>
      </c>
      <c r="I30" s="134">
        <f ca="1">SUM($C$7:C30)</f>
        <v>296445.26175321382</v>
      </c>
      <c r="J30" s="138">
        <f t="shared" ca="1" si="2"/>
        <v>-4970.6740286844506</v>
      </c>
      <c r="K30" s="157">
        <f ca="1">SUM($J$7:J30)</f>
        <v>-281168.59539731959</v>
      </c>
      <c r="L30" s="257"/>
      <c r="M30" s="255"/>
      <c r="N30" s="256"/>
    </row>
    <row r="31" spans="1:16">
      <c r="A31" s="33">
        <v>25</v>
      </c>
      <c r="B31" s="156">
        <f t="shared" ca="1" si="3"/>
        <v>2039</v>
      </c>
      <c r="C31" s="140">
        <f ca="1">C30*(100%+Feuil1!$Z$41)</f>
        <v>13138.634907440675</v>
      </c>
      <c r="D31" s="141">
        <f ca="1">D30*(100%+Feuil1!$Z$41)</f>
        <v>-2875.0022766167463</v>
      </c>
      <c r="E31" s="141">
        <f ca="1">E30*(100%+Feuil1!$Z$41)</f>
        <v>-2120.5251222111265</v>
      </c>
      <c r="F31" s="136">
        <f>-IF(Feuil3!A31&lt;=Feuil1!$V$36,Feuil1!$E$25*12,0)</f>
        <v>0</v>
      </c>
      <c r="G31" s="137">
        <f t="shared" ca="1" si="1"/>
        <v>8143.107508612803</v>
      </c>
      <c r="H31" s="138">
        <f t="shared" ca="1" si="0"/>
        <v>678.59229238440025</v>
      </c>
      <c r="I31" s="134">
        <f ca="1">SUM($C$7:C31)</f>
        <v>309583.89666065451</v>
      </c>
      <c r="J31" s="138">
        <f t="shared" ca="1" si="2"/>
        <v>-4995.5273988278732</v>
      </c>
      <c r="K31" s="157">
        <f ca="1">SUM($J$7:J31)</f>
        <v>-286164.12279614748</v>
      </c>
      <c r="L31" s="257"/>
      <c r="M31" s="255"/>
      <c r="N31" s="256"/>
    </row>
    <row r="32" spans="1:16">
      <c r="A32" s="33">
        <v>26</v>
      </c>
      <c r="B32" s="156">
        <f t="shared" ca="1" si="3"/>
        <v>2040</v>
      </c>
      <c r="C32" s="140">
        <f ca="1">C31*(100%+Feuil1!$Z$41)</f>
        <v>13204.328081977877</v>
      </c>
      <c r="D32" s="141">
        <f ca="1">D31*(100%+Feuil1!$Z$41)</f>
        <v>-2889.3772879998296</v>
      </c>
      <c r="E32" s="141">
        <f ca="1">E31*(100%+Feuil1!$Z$41)</f>
        <v>-2131.1277478221818</v>
      </c>
      <c r="F32" s="136">
        <f>-IF(Feuil3!A32&lt;=Feuil1!$V$36,Feuil1!$E$25*12,0)</f>
        <v>0</v>
      </c>
      <c r="G32" s="137">
        <f t="shared" ca="1" si="1"/>
        <v>8183.8230461558669</v>
      </c>
      <c r="H32" s="138">
        <f t="shared" ca="1" si="0"/>
        <v>681.98525384632228</v>
      </c>
      <c r="I32" s="134">
        <f ca="1">SUM($C$7:C32)</f>
        <v>322788.22474263242</v>
      </c>
      <c r="J32" s="138">
        <f t="shared" ca="1" si="2"/>
        <v>-5020.5050358220115</v>
      </c>
      <c r="K32" s="157">
        <f ca="1">SUM($J$7:J32)</f>
        <v>-291184.62783196947</v>
      </c>
      <c r="L32" s="257"/>
      <c r="M32" s="255"/>
      <c r="N32" s="256"/>
    </row>
    <row r="33" spans="1:14">
      <c r="A33" s="33">
        <v>27</v>
      </c>
      <c r="B33" s="156">
        <f t="shared" ca="1" si="3"/>
        <v>2041</v>
      </c>
      <c r="C33" s="140">
        <f ca="1">C32*(100%+Feuil1!$Z$41)</f>
        <v>13270.349722387766</v>
      </c>
      <c r="D33" s="141">
        <f ca="1">D32*(100%+Feuil1!$Z$41)</f>
        <v>-2903.8241744398283</v>
      </c>
      <c r="E33" s="141">
        <f ca="1">E32*(100%+Feuil1!$Z$41)</f>
        <v>-2141.7833865612924</v>
      </c>
      <c r="F33" s="136">
        <f>-IF(Feuil3!A33&lt;=Feuil1!$V$36,Feuil1!$E$25*12,0)</f>
        <v>0</v>
      </c>
      <c r="G33" s="137">
        <f t="shared" ca="1" si="1"/>
        <v>8224.7421613866463</v>
      </c>
      <c r="H33" s="138">
        <f t="shared" ca="1" si="0"/>
        <v>685.3951801155539</v>
      </c>
      <c r="I33" s="134">
        <f ca="1">SUM($C$7:C33)</f>
        <v>336058.57446502021</v>
      </c>
      <c r="J33" s="138">
        <f t="shared" ca="1" si="2"/>
        <v>-5045.6075610011212</v>
      </c>
      <c r="K33" s="157">
        <f ca="1">SUM($J$7:J33)</f>
        <v>-296230.23539297062</v>
      </c>
      <c r="L33" s="139"/>
      <c r="M33" s="131"/>
      <c r="N33" s="145"/>
    </row>
    <row r="34" spans="1:14">
      <c r="A34" s="33">
        <v>28</v>
      </c>
      <c r="B34" s="156">
        <f t="shared" ca="1" si="3"/>
        <v>2042</v>
      </c>
      <c r="C34" s="140">
        <f ca="1">C33*(100%+Feuil1!$Z$41)</f>
        <v>13336.701470999704</v>
      </c>
      <c r="D34" s="141">
        <f ca="1">D33*(100%+Feuil1!$Z$41)</f>
        <v>-2918.3432953120273</v>
      </c>
      <c r="E34" s="141">
        <f ca="1">E33*(100%+Feuil1!$Z$41)</f>
        <v>-2152.4923034940989</v>
      </c>
      <c r="F34" s="136">
        <f>-IF(Feuil3!A34&lt;=Feuil1!$V$36,Feuil1!$E$25*12,0)</f>
        <v>0</v>
      </c>
      <c r="G34" s="137">
        <f t="shared" ca="1" si="1"/>
        <v>8265.865872193579</v>
      </c>
      <c r="H34" s="138">
        <f t="shared" ca="1" si="0"/>
        <v>688.82215601613154</v>
      </c>
      <c r="I34" s="134">
        <f ca="1">SUM($C$7:C34)</f>
        <v>349395.2759360199</v>
      </c>
      <c r="J34" s="138">
        <f t="shared" ca="1" si="2"/>
        <v>-5070.8355988061267</v>
      </c>
      <c r="K34" s="157">
        <f ca="1">SUM($J$7:J34)</f>
        <v>-301301.07099177677</v>
      </c>
      <c r="L34" s="139"/>
      <c r="M34" s="131"/>
      <c r="N34" s="145"/>
    </row>
    <row r="35" spans="1:14">
      <c r="A35" s="33">
        <v>29</v>
      </c>
      <c r="B35" s="156">
        <f t="shared" ca="1" si="3"/>
        <v>2043</v>
      </c>
      <c r="C35" s="140">
        <f ca="1">C34*(100%+Feuil1!$Z$41)</f>
        <v>13403.384978354701</v>
      </c>
      <c r="D35" s="141">
        <f ca="1">D34*(100%+Feuil1!$Z$41)</f>
        <v>-2932.935011788587</v>
      </c>
      <c r="E35" s="141">
        <f ca="1">E34*(100%+Feuil1!$Z$41)</f>
        <v>-2163.2547650115694</v>
      </c>
      <c r="F35" s="136">
        <f>-IF(Feuil3!A35&lt;=Feuil1!$V$36,Feuil1!$E$25*12,0)</f>
        <v>0</v>
      </c>
      <c r="G35" s="137">
        <f t="shared" ca="1" si="1"/>
        <v>8307.195201554543</v>
      </c>
      <c r="H35" s="138">
        <f t="shared" ca="1" si="0"/>
        <v>692.26626679621188</v>
      </c>
      <c r="I35" s="134">
        <f ca="1">SUM($C$7:C35)</f>
        <v>362798.66091437457</v>
      </c>
      <c r="J35" s="138">
        <f t="shared" ca="1" si="2"/>
        <v>-5096.1897768001563</v>
      </c>
      <c r="K35" s="157">
        <f ca="1">SUM($J$7:J35)</f>
        <v>-306397.26076857693</v>
      </c>
      <c r="L35" s="139"/>
      <c r="M35" s="131"/>
      <c r="N35" s="145"/>
    </row>
    <row r="36" spans="1:14" ht="15.75" thickBot="1">
      <c r="A36" s="36">
        <v>30</v>
      </c>
      <c r="B36" s="158">
        <f t="shared" ca="1" si="3"/>
        <v>2044</v>
      </c>
      <c r="C36" s="146">
        <f ca="1">C35*(100%+Feuil1!$Z$41)</f>
        <v>13470.401903246473</v>
      </c>
      <c r="D36" s="147">
        <f ca="1">D35*(100%+Feuil1!$Z$41)</f>
        <v>-2947.5996868475295</v>
      </c>
      <c r="E36" s="147">
        <f ca="1">E35*(100%+Feuil1!$Z$41)</f>
        <v>-2174.0710388366269</v>
      </c>
      <c r="F36" s="148">
        <f>-IF(Feuil3!A36&lt;=Feuil1!$V$36,Feuil1!$E$25*12,0)</f>
        <v>0</v>
      </c>
      <c r="G36" s="149">
        <f t="shared" ca="1" si="1"/>
        <v>8348.7311775623166</v>
      </c>
      <c r="H36" s="150">
        <f t="shared" ca="1" si="0"/>
        <v>695.72759813019309</v>
      </c>
      <c r="I36" s="151">
        <f ca="1">SUM($C$7:C36)</f>
        <v>376269.06281762104</v>
      </c>
      <c r="J36" s="150">
        <f t="shared" ca="1" si="2"/>
        <v>-5121.6707256841564</v>
      </c>
      <c r="K36" s="159">
        <f ca="1">SUM($J$7:J36)</f>
        <v>-311518.93149426108</v>
      </c>
      <c r="L36" s="152"/>
      <c r="M36" s="153"/>
      <c r="N36" s="154"/>
    </row>
    <row r="38" spans="1:14">
      <c r="M38" s="46"/>
    </row>
  </sheetData>
  <sheetProtection password="8F6C" sheet="1" objects="1" scenarios="1"/>
  <mergeCells count="13">
    <mergeCell ref="L21:N21"/>
    <mergeCell ref="L28:N28"/>
    <mergeCell ref="L29:N32"/>
    <mergeCell ref="B1:K3"/>
    <mergeCell ref="B4:B6"/>
    <mergeCell ref="K4:K6"/>
    <mergeCell ref="J4:J6"/>
    <mergeCell ref="I4:I6"/>
    <mergeCell ref="G4:G6"/>
    <mergeCell ref="F4:F6"/>
    <mergeCell ref="E4:E6"/>
    <mergeCell ref="D4:D6"/>
    <mergeCell ref="C4:C6"/>
  </mergeCells>
  <phoneticPr fontId="28" type="noConversion"/>
  <conditionalFormatting sqref="H7:H36">
    <cfRule type="cellIs" dxfId="4" priority="3" stopIfTrue="1" operator="greaterThan">
      <formula>0</formula>
    </cfRule>
    <cfRule type="cellIs" dxfId="3" priority="4" stopIfTrue="1" operator="lessThan">
      <formula>0</formula>
    </cfRule>
    <cfRule type="cellIs" dxfId="2" priority="5" stopIfTrue="1" operator="greaterThan">
      <formula>0</formula>
    </cfRule>
  </conditionalFormatting>
  <conditionalFormatting sqref="G7:G3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headerFooter>
    <oddFooter>&amp;LSARL Coloc Invest
7 chemin de la danse
42700 FIRMINY&amp;CSimulation non contractuelle&amp;Rcontact@coloc-invest.fr
Tél. : 06 01 99 97 34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Feuil1!Zone_d_impression</vt:lpstr>
      <vt:lpstr>Feuil2!Zone_d_impression</vt:lpstr>
      <vt:lpstr>Feuil3!Zone_d_impression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Utilisateur</cp:lastModifiedBy>
  <cp:lastPrinted>2012-12-17T16:12:23Z</cp:lastPrinted>
  <dcterms:created xsi:type="dcterms:W3CDTF">2010-11-24T15:15:51Z</dcterms:created>
  <dcterms:modified xsi:type="dcterms:W3CDTF">2015-11-29T09:29:11Z</dcterms:modified>
</cp:coreProperties>
</file>